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OBRAS\CONSORCIO COLEGIOS 041-2021\1538 SARDINATA\ACTA PARCIAL 2 V3\"/>
    </mc:Choice>
  </mc:AlternateContent>
  <xr:revisionPtr revIDLastSave="0" documentId="13_ncr:1_{5AD5C8F3-5C53-4148-AFC8-AD53B4CCB428}" xr6:coauthVersionLast="47" xr6:coauthVersionMax="47" xr10:uidLastSave="{00000000-0000-0000-0000-000000000000}"/>
  <bookViews>
    <workbookView xWindow="-120" yWindow="-120" windowWidth="20730" windowHeight="11040" xr2:uid="{AD8C8A51-95ED-4380-97B0-55326CE95060}"/>
  </bookViews>
  <sheets>
    <sheet name="ACTA PARCIAL No. 2 " sheetId="1" r:id="rId1"/>
    <sheet name="Anexo al Acta Parcial o Final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_____________A2" localSheetId="1" hidden="1">{#N/A,#N/A,FALSE,"Costos Productos 6A";#N/A,#N/A,FALSE,"Costo Unitario Total H-94-12"}</definedName>
    <definedName name="_______________A2" hidden="1">{#N/A,#N/A,FALSE,"Costos Productos 6A";#N/A,#N/A,FALSE,"Costo Unitario Total H-94-12"}</definedName>
    <definedName name="______________A2" localSheetId="1" hidden="1">{#N/A,#N/A,FALSE,"Costos Productos 6A";#N/A,#N/A,FALSE,"Costo Unitario Total H-94-12"}</definedName>
    <definedName name="______________A2" hidden="1">{#N/A,#N/A,FALSE,"Costos Productos 6A";#N/A,#N/A,FALSE,"Costo Unitario Total H-94-12"}</definedName>
    <definedName name="_____________A2" localSheetId="1" hidden="1">{#N/A,#N/A,FALSE,"Costos Productos 6A";#N/A,#N/A,FALSE,"Costo Unitario Total H-94-12"}</definedName>
    <definedName name="_____________A2" hidden="1">{#N/A,#N/A,FALSE,"Costos Productos 6A";#N/A,#N/A,FALSE,"Costo Unitario Total H-94-12"}</definedName>
    <definedName name="___________A2" localSheetId="1" hidden="1">{#N/A,#N/A,FALSE,"Costos Productos 6A";#N/A,#N/A,FALSE,"Costo Unitario Total H-94-12"}</definedName>
    <definedName name="___________A2" hidden="1">{#N/A,#N/A,FALSE,"Costos Productos 6A";#N/A,#N/A,FALSE,"Costo Unitario Total H-94-12"}</definedName>
    <definedName name="_________A2" localSheetId="1" hidden="1">{#N/A,#N/A,FALSE,"Costos Productos 6A";#N/A,#N/A,FALSE,"Costo Unitario Total H-94-12"}</definedName>
    <definedName name="_________A2" hidden="1">{#N/A,#N/A,FALSE,"Costos Productos 6A";#N/A,#N/A,FALSE,"Costo Unitario Total H-94-12"}</definedName>
    <definedName name="_______A2" localSheetId="1" hidden="1">{#N/A,#N/A,FALSE,"Costos Productos 6A";#N/A,#N/A,FALSE,"Costo Unitario Total H-94-12"}</definedName>
    <definedName name="_______A2" hidden="1">{#N/A,#N/A,FALSE,"Costos Productos 6A";#N/A,#N/A,FALSE,"Costo Unitario Total H-94-12"}</definedName>
    <definedName name="_____A2" localSheetId="1" hidden="1">{#N/A,#N/A,FALSE,"Costos Productos 6A";#N/A,#N/A,FALSE,"Costo Unitario Total H-94-12"}</definedName>
    <definedName name="_____A2" hidden="1">{#N/A,#N/A,FALSE,"Costos Productos 6A";#N/A,#N/A,FALSE,"Costo Unitario Total H-94-12"}</definedName>
    <definedName name="____A2" localSheetId="1" hidden="1">{#N/A,#N/A,FALSE,"Costos Productos 6A";#N/A,#N/A,FALSE,"Costo Unitario Total H-94-12"}</definedName>
    <definedName name="____A2" hidden="1">{#N/A,#N/A,FALSE,"Costos Productos 6A";#N/A,#N/A,FALSE,"Costo Unitario Total H-94-12"}</definedName>
    <definedName name="___A2" localSheetId="1" hidden="1">{#N/A,#N/A,FALSE,"Costos Productos 6A";#N/A,#N/A,FALSE,"Costo Unitario Total H-94-12"}</definedName>
    <definedName name="___A2" hidden="1">{#N/A,#N/A,FALSE,"Costos Productos 6A";#N/A,#N/A,FALSE,"Costo Unitario Total H-94-12"}</definedName>
    <definedName name="__123Graph_A" hidden="1">#REF!</definedName>
    <definedName name="__123Graph_AFRQACIRR" hidden="1">[1]Main!$FP$65:$FP$70</definedName>
    <definedName name="__123Graph_AFRQACNPV" hidden="1">[1]Main!$FP$65:$FP$70</definedName>
    <definedName name="__123Graph_AFRQACRES" hidden="1">[1]Main!$FP$65:$FP$70</definedName>
    <definedName name="__123Graph_AGraph2" hidden="1">[2]G.G!#REF!</definedName>
    <definedName name="__123Graph_AHSTGIRR" hidden="1">[1]Main!$FN$66:$FR$66</definedName>
    <definedName name="__123Graph_AHSTGNPV" hidden="1">[1]Main!$FN$66:$FR$66</definedName>
    <definedName name="__123Graph_AHSTGRES" hidden="1">[1]Main!$FN$66:$FR$66</definedName>
    <definedName name="__123Graph_B" hidden="1">#REF!</definedName>
    <definedName name="__123Graph_C" hidden="1">[3]DATOS!#REF!</definedName>
    <definedName name="__123Graph_D" hidden="1">[3]DATOS!#REF!</definedName>
    <definedName name="__123Graph_X" hidden="1">[1]CorpTax!$G$68:$G$97</definedName>
    <definedName name="__123Graph_XFRQACNPV" hidden="1">[1]Main!$FO$65:$FO$70</definedName>
    <definedName name="__123Graph_XFRQACRES" hidden="1">[1]Main!$FO$65:$FO$70</definedName>
    <definedName name="__A2" localSheetId="1" hidden="1">{#N/A,#N/A,FALSE,"Costos Productos 6A";#N/A,#N/A,FALSE,"Costo Unitario Total H-94-12"}</definedName>
    <definedName name="__A2" hidden="1">{#N/A,#N/A,FALSE,"Costos Productos 6A";#N/A,#N/A,FALSE,"Costo Unitario Total H-94-12"}</definedName>
    <definedName name="__AAS1" localSheetId="1" hidden="1">{#N/A,#N/A,TRUE,"INGENIERIA";#N/A,#N/A,TRUE,"COMPRAS";#N/A,#N/A,TRUE,"DIRECCION";#N/A,#N/A,TRUE,"RESUMEN"}</definedName>
    <definedName name="__AAS1" hidden="1">{#N/A,#N/A,TRUE,"INGENIERIA";#N/A,#N/A,TRUE,"COMPRAS";#N/A,#N/A,TRUE,"DIRECCION";#N/A,#N/A,TRUE,"RESUMEN"}</definedName>
    <definedName name="__ABC1" localSheetId="1" hidden="1">{#N/A,#N/A,TRUE,"1842CWN0"}</definedName>
    <definedName name="__ABC1" hidden="1">{#N/A,#N/A,TRUE,"1842CWN0"}</definedName>
    <definedName name="__abc2" localSheetId="1" hidden="1">{#N/A,#N/A,TRUE,"1842CWN0"}</definedName>
    <definedName name="__abc2" hidden="1">{#N/A,#N/A,TRUE,"1842CWN0"}</definedName>
    <definedName name="__hhg1" localSheetId="1" hidden="1">{#N/A,#N/A,TRUE,"1842CWN0"}</definedName>
    <definedName name="__hhg1" hidden="1">{#N/A,#N/A,TRUE,"1842CWN0"}</definedName>
    <definedName name="__key2" hidden="1">[4]INST!#REF!</definedName>
    <definedName name="__key3" hidden="1">#REF!</definedName>
    <definedName name="_10___123Graph_XGráfico_4A" hidden="1">[3]DATOS!#REF!</definedName>
    <definedName name="_14_4_0__123Grap" hidden="1">[5]DATOS!#REF!</definedName>
    <definedName name="_24_B_0__123Graph_XGráfico" hidden="1">[5]DATOS!#REF!</definedName>
    <definedName name="_6___123Graph_AGráfico_4A" hidden="1">[3]DATOS!#REF!</definedName>
    <definedName name="_6_0_0_F" hidden="1">#REF!</definedName>
    <definedName name="_8___123Graph_BGráfico_4A" hidden="1">[3]DATOS!#REF!</definedName>
    <definedName name="_A2" localSheetId="1" hidden="1">{#N/A,#N/A,FALSE,"Costos Productos 6A";#N/A,#N/A,FALSE,"Costo Unitario Total H-94-12"}</definedName>
    <definedName name="_A2" hidden="1">{#N/A,#N/A,FALSE,"Costos Productos 6A";#N/A,#N/A,FALSE,"Costo Unitario Total H-94-12"}</definedName>
    <definedName name="_AAS1" localSheetId="1" hidden="1">{#N/A,#N/A,TRUE,"INGENIERIA";#N/A,#N/A,TRUE,"COMPRAS";#N/A,#N/A,TRUE,"DIRECCION";#N/A,#N/A,TRUE,"RESUMEN"}</definedName>
    <definedName name="_AAS1" hidden="1">{#N/A,#N/A,TRUE,"INGENIERIA";#N/A,#N/A,TRUE,"COMPRAS";#N/A,#N/A,TRUE,"DIRECCION";#N/A,#N/A,TRUE,"RESUMEN"}</definedName>
    <definedName name="_ABC1" localSheetId="1" hidden="1">{#N/A,#N/A,TRUE,"1842CWN0"}</definedName>
    <definedName name="_ABC1" hidden="1">{#N/A,#N/A,TRUE,"1842CWN0"}</definedName>
    <definedName name="_abc2" localSheetId="1" hidden="1">{#N/A,#N/A,TRUE,"1842CWN0"}</definedName>
    <definedName name="_abc2" hidden="1">{#N/A,#N/A,TRUE,"1842CWN0"}</definedName>
    <definedName name="_Dist_Bin" hidden="1">[6]SABANA!#REF!</definedName>
    <definedName name="_F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_F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_Fill" hidden="1">'[7]7422CW00'!#REF!</definedName>
    <definedName name="_hhg1" localSheetId="1" hidden="1">{#N/A,#N/A,TRUE,"1842CWN0"}</definedName>
    <definedName name="_hhg1" hidden="1">{#N/A,#N/A,TRUE,"1842CWN0"}</definedName>
    <definedName name="_Key1" hidden="1">#REF!</definedName>
    <definedName name="_Key2" hidden="1">#REF!</definedName>
    <definedName name="_key3" hidden="1">#REF!</definedName>
    <definedName name="_Order1" hidden="1">255</definedName>
    <definedName name="_Order2" hidden="1">255</definedName>
    <definedName name="_Parse_Out" hidden="1">'[7]7422CW00'!#REF!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[1]Main!$U$48</definedName>
    <definedName name="_Table1_Out" hidden="1">#REF!</definedName>
    <definedName name="_Table2_In1" hidden="1">[1]Main!$U$48</definedName>
    <definedName name="_Table2_In2" hidden="1">[1]Input!$M$3</definedName>
    <definedName name="_Table2_Out" localSheetId="1" hidden="1">#REF!</definedName>
    <definedName name="_Table2_Out" hidden="1">#REF!</definedName>
    <definedName name="A_IMPRESIÓN_IM" localSheetId="1">#REF!</definedName>
    <definedName name="A_IMPRESIÓN_IM">#REF!</definedName>
    <definedName name="a6d" localSheetId="1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6d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A" localSheetId="1" hidden="1">{#N/A,#N/A,TRUE,"INGENIERIA";#N/A,#N/A,TRUE,"COMPRAS";#N/A,#N/A,TRUE,"DIRECCION";#N/A,#N/A,TRUE,"RESUMEN"}</definedName>
    <definedName name="AA" hidden="1">{#N/A,#N/A,TRUE,"INGENIERIA";#N/A,#N/A,TRUE,"COMPRAS";#N/A,#N/A,TRUE,"DIRECCION";#N/A,#N/A,TRUE,"RESUMEN"}</definedName>
    <definedName name="AAAAAA" localSheetId="1" hidden="1">{#N/A,#N/A,TRUE,"INGENIERIA";#N/A,#N/A,TRUE,"COMPRAS";#N/A,#N/A,TRUE,"DIRECCION";#N/A,#N/A,TRUE,"RESUMEN"}</definedName>
    <definedName name="AAAAAA" hidden="1">{#N/A,#N/A,TRUE,"INGENIERIA";#N/A,#N/A,TRUE,"COMPRAS";#N/A,#N/A,TRUE,"DIRECCION";#N/A,#N/A,TRUE,"RESUMEN"}</definedName>
    <definedName name="AAS" localSheetId="1" hidden="1">{#N/A,#N/A,TRUE,"INGENIERIA";#N/A,#N/A,TRUE,"COMPRAS";#N/A,#N/A,TRUE,"DIRECCION";#N/A,#N/A,TRUE,"RESUMEN"}</definedName>
    <definedName name="AAS" hidden="1">{#N/A,#N/A,TRUE,"INGENIERIA";#N/A,#N/A,TRUE,"COMPRAS";#N/A,#N/A,TRUE,"DIRECCION";#N/A,#N/A,TRUE,"RESUMEN"}</definedName>
    <definedName name="abc" localSheetId="1" hidden="1">{#N/A,#N/A,TRUE,"1842CWN0"}</definedName>
    <definedName name="abc" hidden="1">{#N/A,#N/A,TRUE,"1842CWN0"}</definedName>
    <definedName name="ABCD" hidden="1">#REF!</definedName>
    <definedName name="ABCDE" hidden="1">#REF!</definedName>
    <definedName name="ACTA" localSheetId="1">#REF!</definedName>
    <definedName name="ACTA">#REF!</definedName>
    <definedName name="adf" localSheetId="1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adf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Ajusteinf" localSheetId="1" hidden="1">{#N/A,#N/A,FALSE,"Costos Productos 6A";#N/A,#N/A,FALSE,"Costo Unitario Total H-94-12"}</definedName>
    <definedName name="Ajusteinf" hidden="1">{#N/A,#N/A,FALSE,"Costos Productos 6A";#N/A,#N/A,FALSE,"Costo Unitario Total H-94-12"}</definedName>
    <definedName name="AJUSTPTO" localSheetId="1" hidden="1">{#N/A,#N/A,FALSE,"Costos Productos 6A";#N/A,#N/A,FALSE,"Costo Unitario Total H-94-12"}</definedName>
    <definedName name="AJUSTPTO" hidden="1">{#N/A,#N/A,FALSE,"Costos Productos 6A";#N/A,#N/A,FALSE,"Costo Unitario Total H-94-12"}</definedName>
    <definedName name="an" localSheetId="1" hidden="1">{#N/A,#N/A,FALSE,"CIBHA05A";#N/A,#N/A,FALSE,"CIBHA05B"}</definedName>
    <definedName name="an" hidden="1">{#N/A,#N/A,FALSE,"CIBHA05A";#N/A,#N/A,FALSE,"CIBHA05B"}</definedName>
    <definedName name="_xlnm.Extract" localSheetId="1">#REF!</definedName>
    <definedName name="_xlnm.Extract">#REF!</definedName>
    <definedName name="_xlnm.Print_Area" localSheetId="0">'ACTA PARCIAL No. 2 '!$A$1:$Z$451</definedName>
    <definedName name="_xlnm.Print_Area" localSheetId="1">'Anexo al Acta Parcial o Final'!$A$1:$N$65</definedName>
    <definedName name="_xlnm.Print_Area">#REF!</definedName>
    <definedName name="ASASDA" localSheetId="1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ASASDA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asdfasdfsadf" hidden="1">#REF!</definedName>
    <definedName name="asfdfe" localSheetId="1" hidden="1">{#N/A,#N/A,TRUE,"INGENIERIA";#N/A,#N/A,TRUE,"COMPRAS";#N/A,#N/A,TRUE,"DIRECCION";#N/A,#N/A,TRUE,"RESUMEN"}</definedName>
    <definedName name="asfdfe" hidden="1">{#N/A,#N/A,TRUE,"INGENIERIA";#N/A,#N/A,TRUE,"COMPRAS";#N/A,#N/A,TRUE,"DIRECCION";#N/A,#N/A,TRUE,"RESUMEN"}</definedName>
    <definedName name="Base_datos_IM" localSheetId="1">#REF!</definedName>
    <definedName name="Base_datos_IM">#REF!</definedName>
    <definedName name="_xlnm.Database" localSheetId="1">#REF!</definedName>
    <definedName name="_xlnm.Database">#REF!</definedName>
    <definedName name="BB" localSheetId="1" hidden="1">{#N/A,#N/A,FALSE,"CIBHA05A";#N/A,#N/A,FALSE,"CIBHA05B"}</definedName>
    <definedName name="BB" hidden="1">{#N/A,#N/A,FALSE,"CIBHA05A";#N/A,#N/A,FALSE,"CIBHA05B"}</definedName>
    <definedName name="CABCELAR" localSheetId="1" hidden="1">{#N/A,#N/A,FALSE,"Costos Productos 6A";#N/A,#N/A,FALSE,"Costo Unitario Total H-94-12"}</definedName>
    <definedName name="CABCELAR" hidden="1">{#N/A,#N/A,FALSE,"Costos Productos 6A";#N/A,#N/A,FALSE,"Costo Unitario Total H-94-12"}</definedName>
    <definedName name="CAC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AC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ARLOSC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ARLOSC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BWorkbookPriority" hidden="1">-562754140</definedName>
    <definedName name="CCCCC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CCCC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ESAR" localSheetId="1" hidden="1">{#N/A,#N/A,FALSE,"Costos Productos 6A";#N/A,#N/A,FALSE,"Costo Unitario Total H-94-12"}</definedName>
    <definedName name="CESAR" hidden="1">{#N/A,#N/A,FALSE,"Costos Productos 6A";#N/A,#N/A,FALSE,"Costo Unitario Total H-94-12"}</definedName>
    <definedName name="CHACA" hidden="1">[8]DATOS!#REF!</definedName>
    <definedName name="CONTABLE" localSheetId="1" hidden="1">{#N/A,#N/A,FALSE,"CIBHA05A";#N/A,#N/A,FALSE,"CIBHA05B"}</definedName>
    <definedName name="CONTABLE" hidden="1">{#N/A,#N/A,FALSE,"CIBHA05A";#N/A,#N/A,FALSE,"CIBHA05B"}</definedName>
    <definedName name="CONTABLES" localSheetId="1" hidden="1">{#N/A,#N/A,FALSE,"Costos Productos 6A";#N/A,#N/A,FALSE,"Costo Unitario Total H-94-12"}</definedName>
    <definedName name="CONTABLES" hidden="1">{#N/A,#N/A,FALSE,"Costos Productos 6A";#N/A,#N/A,FALSE,"Costo Unitario Total H-94-12"}</definedName>
    <definedName name="cost04" localSheetId="1" hidden="1">{#N/A,#N/A,FALSE,"Costos Productos 6A";#N/A,#N/A,FALSE,"Costo Unitario Total H-94-12"}</definedName>
    <definedName name="cost04" hidden="1">{#N/A,#N/A,FALSE,"Costos Productos 6A";#N/A,#N/A,FALSE,"Costo Unitario Total H-94-12"}</definedName>
    <definedName name="COSTCONTAB" localSheetId="1" hidden="1">{#N/A,#N/A,FALSE,"Costos Productos 6A";#N/A,#N/A,FALSE,"Costo Unitario Total H-94-12"}</definedName>
    <definedName name="COSTCONTAB" hidden="1">{#N/A,#N/A,FALSE,"Costos Productos 6A";#N/A,#N/A,FALSE,"Costo Unitario Total H-94-12"}</definedName>
    <definedName name="costivo" localSheetId="1" hidden="1">{#N/A,#N/A,FALSE,"Costos Productos 6A";#N/A,#N/A,FALSE,"Costo Unitario Total H-94-12"}</definedName>
    <definedName name="costivo" hidden="1">{#N/A,#N/A,FALSE,"Costos Productos 6A";#N/A,#N/A,FALSE,"Costo Unitario Total H-94-12"}</definedName>
    <definedName name="costivos" localSheetId="1" hidden="1">{#N/A,#N/A,FALSE,"Costos Productos 6A";#N/A,#N/A,FALSE,"Costo Unitario Total H-94-12"}</definedName>
    <definedName name="costivos" hidden="1">{#N/A,#N/A,FALSE,"Costos Productos 6A";#N/A,#N/A,FALSE,"Costo Unitario Total H-94-12"}</definedName>
    <definedName name="costoperativos" localSheetId="1" hidden="1">{#N/A,#N/A,FALSE,"Costos Productos 6A";#N/A,#N/A,FALSE,"Costo Unitario Total H-94-12"}</definedName>
    <definedName name="costoperativos" hidden="1">{#N/A,#N/A,FALSE,"Costos Productos 6A";#N/A,#N/A,FALSE,"Costo Unitario Total H-94-12"}</definedName>
    <definedName name="costos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costo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costos04" localSheetId="1" hidden="1">{#N/A,#N/A,FALSE,"Costos Productos 6A";#N/A,#N/A,FALSE,"Costo Unitario Total H-94-12"}</definedName>
    <definedName name="costos04" hidden="1">{#N/A,#N/A,FALSE,"Costos Productos 6A";#N/A,#N/A,FALSE,"Costo Unitario Total H-94-12"}</definedName>
    <definedName name="CRUDOS" localSheetId="1" hidden="1">{#N/A,#N/A,FALSE,"CIBHA05A";#N/A,#N/A,FALSE,"CIBHA05B"}</definedName>
    <definedName name="CRUDOS" hidden="1">{#N/A,#N/A,FALSE,"CIBHA05A";#N/A,#N/A,FALSE,"CIBHA05B"}</definedName>
    <definedName name="CUC">#REF!</definedName>
    <definedName name="CUCTILLA">#REF!</definedName>
    <definedName name="cvbcvbf" localSheetId="1" hidden="1">{#N/A,#N/A,TRUE,"INGENIERIA";#N/A,#N/A,TRUE,"COMPRAS";#N/A,#N/A,TRUE,"DIRECCION";#N/A,#N/A,TRUE,"RESUMEN"}</definedName>
    <definedName name="cvbcvbf" hidden="1">{#N/A,#N/A,TRUE,"INGENIERIA";#N/A,#N/A,TRUE,"COMPRAS";#N/A,#N/A,TRUE,"DIRECCION";#N/A,#N/A,TRUE,"RESUMEN"}</definedName>
    <definedName name="Cwvu.oil." hidden="1">'[9]59y22%'!$A$13:$IV$24,'[9]59y22%'!$A$26:$IV$37,'[9]59y22%'!$A$39:$IV$50,'[9]59y22%'!$A$91:$IV$102,'[9]59y22%'!$A$104:$IV$115,'[9]59y22%'!$A$117:$IV$128,'[9]59y22%'!$A$130:$IV$141,'[9]59y22%'!$A$143:$IV$154,'[9]59y22%'!$A$156:$IV$167,'[9]59y22%'!$A$169:$IV$180,'[9]59y22%'!$A$182:$IV$193,'[9]59y22%'!$A$195:$IV$206,'[9]59y22%'!$A$208:$IV$219,'[9]59y22%'!$A$221:$IV$232,'[9]59y22%'!$A$234:$IV$245</definedName>
    <definedName name="Cwvu.oilgasagua." hidden="1">'[9]59y22%'!$A$13:$IV$24,'[9]59y22%'!$A$26:$IV$37,'[9]59y22%'!$A$39:$IV$50,'[9]59y22%'!$A$52:$IV$63,'[9]59y22%'!$A$65:$IV$76,'[9]59y22%'!$A$78:$IV$89,'[9]59y22%'!$A$91:$IV$102,'[9]59y22%'!$A$104:$IV$115,'[9]59y22%'!$A$117:$IV$128,'[9]59y22%'!$A$130:$IV$141,'[9]59y22%'!$A$143:$IV$154,'[9]59y22%'!$A$156:$IV$167,'[9]59y22%'!$A$169:$IV$180,'[9]59y22%'!$A$182:$IV$193,'[9]59y22%'!$A$195:$IV$206,'[9]59y22%'!$A$208:$IV$219,'[9]59y22%'!$A$221:$IV$232,'[9]59y22%'!$A$234:$IV$245</definedName>
    <definedName name="Cwvu.RCEIBAS1." hidden="1">'[9]59y22%'!$A$13:$IV$23,'[9]59y22%'!$A$26:$IV$36,'[9]59y22%'!$A$78:$IV$88,'[9]59y22%'!$A$91:$IV$101,'[9]59y22%'!$A$104:$IV$114,'[9]59y22%'!$A$117:$IV$127,'[9]59y22%'!$A$130:$IV$140,'[9]59y22%'!$A$143:$IV$153,'[9]59y22%'!$A$156:$IV$166,'[9]59y22%'!$A$169:$IV$179,'[9]59y22%'!$A$182:$IV$192,'[9]59y22%'!$A$195:$IV$205,'[9]59y22%'!$A$208:$IV$218,'[9]59y22%'!$A$221:$IV$231,'[9]59y22%'!$A$234:$IV$244</definedName>
    <definedName name="DDDD" localSheetId="1" hidden="1">{#N/A,#N/A,FALSE,"Costos Productos 6A";#N/A,#N/A,FALSE,"Costo Unitario Total H-94-12"}</definedName>
    <definedName name="DDDD" hidden="1">{#N/A,#N/A,FALSE,"Costos Productos 6A";#N/A,#N/A,FALSE,"Costo Unitario Total H-94-12"}</definedName>
    <definedName name="dfd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dfd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E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E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EE" localSheetId="1" hidden="1">{#N/A,#N/A,FALSE,"Costos Productos 6A";#N/A,#N/A,FALSE,"Costo Unitario Total H-94-12"}</definedName>
    <definedName name="EE" hidden="1">{#N/A,#N/A,FALSE,"Costos Productos 6A";#N/A,#N/A,FALSE,"Costo Unitario Total H-94-12"}</definedName>
    <definedName name="eririutriuthdc" localSheetId="1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eririutriuthdc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ESTRUCTURA" localSheetId="1" hidden="1">{#N/A,#N/A,TRUE,"INGENIERIA";#N/A,#N/A,TRUE,"COMPRAS";#N/A,#N/A,TRUE,"DIRECCION";#N/A,#N/A,TRUE,"RESUMEN"}</definedName>
    <definedName name="ESTRUCTURA" hidden="1">{#N/A,#N/A,TRUE,"INGENIERIA";#N/A,#N/A,TRUE,"COMPRAS";#N/A,#N/A,TRUE,"DIRECCION";#N/A,#N/A,TRUE,"RESUMEN"}</definedName>
    <definedName name="etertt" localSheetId="1" hidden="1">{#N/A,#N/A,TRUE,"1842CWN0"}</definedName>
    <definedName name="etertt" hidden="1">{#N/A,#N/A,TRUE,"1842CWN0"}</definedName>
    <definedName name="EX" hidden="1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Titles_4">#REF!</definedName>
    <definedName name="Extracción_IM" localSheetId="1">#REF!</definedName>
    <definedName name="Extracción_IM">#REF!</definedName>
    <definedName name="FA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FA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FF" localSheetId="1" hidden="1">{#N/A,#N/A,FALSE,"Costos Productos 6A";#N/A,#N/A,FALSE,"Costo Unitario Total H-94-12"}</definedName>
    <definedName name="FF" hidden="1">{#N/A,#N/A,FALSE,"Costos Productos 6A";#N/A,#N/A,FALSE,"Costo Unitario Total H-94-12"}</definedName>
    <definedName name="FFFF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FFFF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fhg" localSheetId="1" hidden="1">{#N/A,#N/A,TRUE,"1842CWN0"}</definedName>
    <definedName name="fhg" hidden="1">{#N/A,#N/A,TRUE,"1842CWN0"}</definedName>
    <definedName name="forma96100" localSheetId="1" hidden="1">{#N/A,#N/A,FALSE,"CIBHA05A";#N/A,#N/A,FALSE,"CIBHA05B"}</definedName>
    <definedName name="forma96100" hidden="1">{#N/A,#N/A,FALSE,"CIBHA05A";#N/A,#N/A,FALSE,"CIBHA05B"}</definedName>
    <definedName name="fORMA9698" localSheetId="1" hidden="1">{#N/A,#N/A,FALSE,"CIBHA05A";#N/A,#N/A,FALSE,"CIBHA05B"}</definedName>
    <definedName name="fORMA9698" hidden="1">{#N/A,#N/A,FALSE,"CIBHA05A";#N/A,#N/A,FALSE,"CIBHA05B"}</definedName>
    <definedName name="forma9699" localSheetId="1" hidden="1">{#N/A,#N/A,FALSE,"CIBHA05A";#N/A,#N/A,FALSE,"CIBHA05B"}</definedName>
    <definedName name="forma9699" hidden="1">{#N/A,#N/A,FALSE,"CIBHA05A";#N/A,#N/A,FALSE,"CIBHA05B"}</definedName>
    <definedName name="FORMAUNIT" localSheetId="1" hidden="1">{#N/A,#N/A,FALSE,"Costos Productos 6A";#N/A,#N/A,FALSE,"Costo Unitario Total H-94-12"}</definedName>
    <definedName name="FORMAUNIT" hidden="1">{#N/A,#N/A,FALSE,"Costos Productos 6A";#N/A,#N/A,FALSE,"Costo Unitario Total H-94-12"}</definedName>
    <definedName name="G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G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gffgfhhf" localSheetId="1" hidden="1">{#N/A,#N/A,TRUE,"INGENIERIA";#N/A,#N/A,TRUE,"COMPRAS";#N/A,#N/A,TRUE,"DIRECCION";#N/A,#N/A,TRUE,"RESUMEN"}</definedName>
    <definedName name="gffgfhhf" hidden="1">{#N/A,#N/A,TRUE,"INGENIERIA";#N/A,#N/A,TRUE,"COMPRAS";#N/A,#N/A,TRUE,"DIRECCION";#N/A,#N/A,TRUE,"RESUMEN"}</definedName>
    <definedName name="ggjgjkg" localSheetId="1" hidden="1">{#N/A,#N/A,TRUE,"1842CWN0"}</definedName>
    <definedName name="ggjgjkg" hidden="1">{#N/A,#N/A,TRUE,"1842CWN0"}</definedName>
    <definedName name="ghnbbfr" localSheetId="1" hidden="1">{#N/A,#N/A,TRUE,"1842CWN0"}</definedName>
    <definedName name="ghnbbfr" hidden="1">{#N/A,#N/A,TRUE,"1842CWN0"}</definedName>
    <definedName name="GRCHIS0599" localSheetId="1" hidden="1">{#N/A,#N/A,FALSE,"Costos Productos 6A";#N/A,#N/A,FALSE,"Costo Unitario Total H-94-12"}</definedName>
    <definedName name="GRCHIS0599" hidden="1">{#N/A,#N/A,FALSE,"Costos Productos 6A";#N/A,#N/A,FALSE,"Costo Unitario Total H-94-12"}</definedName>
    <definedName name="HDHDFHDHDH">#REF!</definedName>
    <definedName name="hhg" localSheetId="1" hidden="1">{#N/A,#N/A,TRUE,"1842CWN0"}</definedName>
    <definedName name="hhg" hidden="1">{#N/A,#N/A,TRUE,"1842CWN0"}</definedName>
    <definedName name="HISTORICO" localSheetId="1" hidden="1">{#N/A,#N/A,FALSE,"Costos Productos 6A";#N/A,#N/A,FALSE,"Costo Unitario Total H-94-12"}</definedName>
    <definedName name="HISTORICO" hidden="1">{#N/A,#N/A,FALSE,"Costos Productos 6A";#N/A,#N/A,FALSE,"Costo Unitario Total H-94-12"}</definedName>
    <definedName name="HSIT" localSheetId="1" hidden="1">{#N/A,#N/A,FALSE,"CIBHA05A";#N/A,#N/A,FALSE,"CIBHA05B"}</definedName>
    <definedName name="HSIT" hidden="1">{#N/A,#N/A,FALSE,"CIBHA05A";#N/A,#N/A,FALSE,"CIBHA05B"}</definedName>
    <definedName name="HTML_CodePage" hidden="1">1252</definedName>
    <definedName name="HTML_Description" hidden="1">""</definedName>
    <definedName name="HTML_Email" hidden="1">""</definedName>
    <definedName name="HTML_Header" hidden="1">"OC"</definedName>
    <definedName name="HTML_LastUpdate" hidden="1">"20/11/00"</definedName>
    <definedName name="HTML_LineAfter" hidden="1">FALSE</definedName>
    <definedName name="HTML_LineBefore" hidden="1">FALSE</definedName>
    <definedName name="HTML_Name" hidden="1">"CONSTRUCCIONES VICPAR Y CIA"</definedName>
    <definedName name="HTML_OBDlg2" hidden="1">TRUE</definedName>
    <definedName name="HTML_OBDlg4" hidden="1">TRUE</definedName>
    <definedName name="HTML_OS" hidden="1">0</definedName>
    <definedName name="HTML_PathFile" hidden="1">"C:\Actas\Acta 18\HTML.htm"</definedName>
    <definedName name="HTML_Title" hidden="1">"Acta18Nov"</definedName>
    <definedName name="INDICE" hidden="1">#N/A</definedName>
    <definedName name="INDPYG9698" localSheetId="1" hidden="1">{#N/A,#N/A,FALSE,"Costos Productos 6A";#N/A,#N/A,FALSE,"Costo Unitario Total H-94-12"}</definedName>
    <definedName name="INDPYG9698" hidden="1">{#N/A,#N/A,FALSE,"Costos Productos 6A";#N/A,#N/A,FALSE,"Costo Unitario Total H-94-12"}</definedName>
    <definedName name="ING" localSheetId="1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ENIER" localSheetId="1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ENIER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ENIERIA1" hidden="1">#REF!</definedName>
    <definedName name="INGREHIS" localSheetId="1" hidden="1">{#N/A,#N/A,FALSE,"CIBHA05A";#N/A,#N/A,FALSE,"CIBHA05B"}</definedName>
    <definedName name="INGREHIS" hidden="1">{#N/A,#N/A,FALSE,"CIBHA05A";#N/A,#N/A,FALSE,"CIBHA05B"}</definedName>
    <definedName name="INSTRU" localSheetId="1" hidden="1">{#N/A,#N/A,TRUE,"INGENIERIA";#N/A,#N/A,TRUE,"COMPRAS";#N/A,#N/A,TRUE,"DIRECCION";#N/A,#N/A,TRUE,"RESUMEN"}</definedName>
    <definedName name="INSTRU" hidden="1">{#N/A,#N/A,TRUE,"INGENIERIA";#N/A,#N/A,TRUE,"COMPRAS";#N/A,#N/A,TRUE,"DIRECCION";#N/A,#N/A,TRUE,"RESUMEN"}</definedName>
    <definedName name="IOPIOU" localSheetId="1" hidden="1">{#N/A,#N/A,FALSE,"Costos Productos 6A";#N/A,#N/A,FALSE,"Costo Unitario Total H-94-12"}</definedName>
    <definedName name="IOPIOU" hidden="1">{#N/A,#N/A,FALSE,"Costos Productos 6A";#N/A,#N/A,FALSE,"Costo Unitario Total H-94-12"}</definedName>
    <definedName name="J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J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Jaime" localSheetId="1" hidden="1">{#N/A,#N/A,FALSE,"Costos Productos 6A";#N/A,#N/A,FALSE,"Costo Unitario Total H-94-12"}</definedName>
    <definedName name="Jaime" hidden="1">{#N/A,#N/A,FALSE,"Costos Productos 6A";#N/A,#N/A,FALSE,"Costo Unitario Total H-94-12"}</definedName>
    <definedName name="juan" localSheetId="1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juan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K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K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L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L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LIBIA" localSheetId="1" hidden="1">{#N/A,#N/A,FALSE,"CIBHA05A";#N/A,#N/A,FALSE,"CIBHA05B"}</definedName>
    <definedName name="LIBIA" hidden="1">{#N/A,#N/A,FALSE,"CIBHA05A";#N/A,#N/A,FALSE,"CIBHA05B"}</definedName>
    <definedName name="mem" localSheetId="1" hidden="1">{#N/A,#N/A,FALSE,"Costos Productos 6A";#N/A,#N/A,FALSE,"Costo Unitario Total H-94-12"}</definedName>
    <definedName name="mem" hidden="1">{#N/A,#N/A,FALSE,"Costos Productos 6A";#N/A,#N/A,FALSE,"Costo Unitario Total H-94-12"}</definedName>
    <definedName name="memorias" localSheetId="1" hidden="1">{#N/A,#N/A,FALSE,"CIBHA05A";#N/A,#N/A,FALSE,"CIBHA05B"}</definedName>
    <definedName name="memorias" hidden="1">{#N/A,#N/A,FALSE,"CIBHA05A";#N/A,#N/A,FALSE,"CIBHA05B"}</definedName>
    <definedName name="MEMPYGH" localSheetId="1" hidden="1">{#N/A,#N/A,FALSE,"Costos Productos 6A";#N/A,#N/A,FALSE,"Costo Unitario Total H-94-12"}</definedName>
    <definedName name="MEMPYGH" hidden="1">{#N/A,#N/A,FALSE,"Costos Productos 6A";#N/A,#N/A,FALSE,"Costo Unitario Total H-94-12"}</definedName>
    <definedName name="MEMPYGHIS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EMPYGHI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LKJ" localSheetId="1" hidden="1">{#N/A,#N/A,FALSE,"Costos Productos 6A";#N/A,#N/A,FALSE,"Costo Unitario Total H-94-12"}</definedName>
    <definedName name="MLKJ" hidden="1">{#N/A,#N/A,FALSE,"Costos Productos 6A";#N/A,#N/A,FALSE,"Costo Unitario Total H-94-12"}</definedName>
    <definedName name="new" localSheetId="1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new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noemi" localSheetId="1" hidden="1">{#N/A,#N/A,FALSE,"Costos Productos 6A";#N/A,#N/A,FALSE,"Costo Unitario Total H-94-12"}</definedName>
    <definedName name="noemi" hidden="1">{#N/A,#N/A,FALSE,"Costos Productos 6A";#N/A,#N/A,FALSE,"Costo Unitario Total H-94-12"}</definedName>
    <definedName name="NUEVO" localSheetId="1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NUEVO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ñ" localSheetId="1" hidden="1">{#N/A,#N/A,FALSE,"CIBHA05A";#N/A,#N/A,FALSE,"CIBHA05B"}</definedName>
    <definedName name="ñ" hidden="1">{#N/A,#N/A,FALSE,"CIBHA05A";#N/A,#N/A,FALSE,"CIBHA05B"}</definedName>
    <definedName name="ññ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ññ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obras" hidden="1">#REF!</definedName>
    <definedName name="PPT" hidden="1">#REF!</definedName>
    <definedName name="PROVISIONALES" hidden="1">#REF!</definedName>
    <definedName name="proyecto" localSheetId="1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proyecto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pyg" localSheetId="1" hidden="1">{#N/A,#N/A,FALSE,"Costos Productos 6A";#N/A,#N/A,FALSE,"Costo Unitario Total H-94-12"}</definedName>
    <definedName name="pyg" hidden="1">{#N/A,#N/A,FALSE,"Costos Productos 6A";#N/A,#N/A,FALSE,"Costo Unitario Total H-94-12"}</definedName>
    <definedName name="PYGAJ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AJ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CON" localSheetId="1" hidden="1">{#N/A,#N/A,FALSE,"Costos Productos 6A";#N/A,#N/A,FALSE,"Costo Unitario Total H-94-12"}</definedName>
    <definedName name="PYGCON" hidden="1">{#N/A,#N/A,FALSE,"Costos Productos 6A";#N/A,#N/A,FALSE,"Costo Unitario Total H-94-12"}</definedName>
    <definedName name="PYGCONTABLE" localSheetId="1" hidden="1">{#N/A,#N/A,FALSE,"Costos Productos 6A";#N/A,#N/A,FALSE,"Costo Unitario Total H-94-12"}</definedName>
    <definedName name="PYGCONTABLE" hidden="1">{#N/A,#N/A,FALSE,"Costos Productos 6A";#N/A,#N/A,FALSE,"Costo Unitario Total H-94-12"}</definedName>
    <definedName name="PYGCONTBLCRUDO" localSheetId="1" hidden="1">{#N/A,#N/A,FALSE,"Costos Productos 6A";#N/A,#N/A,FALSE,"Costo Unitario Total H-94-12"}</definedName>
    <definedName name="PYGCONTBLCRUDO" hidden="1">{#N/A,#N/A,FALSE,"Costos Productos 6A";#N/A,#N/A,FALSE,"Costo Unitario Total H-94-12"}</definedName>
    <definedName name="PYGCONTPTO" localSheetId="1" hidden="1">{#N/A,#N/A,FALSE,"Costos Productos 6A";#N/A,#N/A,FALSE,"Costo Unitario Total H-94-12"}</definedName>
    <definedName name="PYGCONTPTO" hidden="1">{#N/A,#N/A,FALSE,"Costos Productos 6A";#N/A,#N/A,FALSE,"Costo Unitario Total H-94-12"}</definedName>
    <definedName name="PYGGRCAJ" localSheetId="1" hidden="1">{#N/A,#N/A,FALSE,"Costos Productos 6A";#N/A,#N/A,FALSE,"Costo Unitario Total H-94-12"}</definedName>
    <definedName name="PYGGRCAJ" hidden="1">{#N/A,#N/A,FALSE,"Costos Productos 6A";#N/A,#N/A,FALSE,"Costo Unitario Total H-94-12"}</definedName>
    <definedName name="PYGHGRC" localSheetId="1" hidden="1">{#N/A,#N/A,FALSE,"Costos Productos 6A";#N/A,#N/A,FALSE,"Costo Unitario Total H-94-12"}</definedName>
    <definedName name="PYGHGRC" hidden="1">{#N/A,#N/A,FALSE,"Costos Productos 6A";#N/A,#N/A,FALSE,"Costo Unitario Total H-94-12"}</definedName>
    <definedName name="PYGRC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RC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qc_h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qc_h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QE" localSheetId="1" hidden="1">{#N/A,#N/A,FALSE,"Costos Productos 6A";#N/A,#N/A,FALSE,"Costo Unitario Total H-94-12"}</definedName>
    <definedName name="QE" hidden="1">{#N/A,#N/A,FALSE,"Costos Productos 6A";#N/A,#N/A,FALSE,"Costo Unitario Total H-94-12"}</definedName>
    <definedName name="QR" localSheetId="1" hidden="1">{#N/A,#N/A,FALSE,"Costos Productos 6A";#N/A,#N/A,FALSE,"Costo Unitario Total H-94-12"}</definedName>
    <definedName name="QR" hidden="1">{#N/A,#N/A,FALSE,"Costos Productos 6A";#N/A,#N/A,FALSE,"Costo Unitario Total H-94-12"}</definedName>
    <definedName name="QT" localSheetId="1" hidden="1">{#N/A,#N/A,FALSE,"Costos Productos 6A";#N/A,#N/A,FALSE,"Costo Unitario Total H-94-12"}</definedName>
    <definedName name="QT" hidden="1">{#N/A,#N/A,FALSE,"Costos Productos 6A";#N/A,#N/A,FALSE,"Costo Unitario Total H-94-12"}</definedName>
    <definedName name="QU" localSheetId="1" hidden="1">{#N/A,#N/A,FALSE,"Costos Productos 6A";#N/A,#N/A,FALSE,"Costo Unitario Total H-94-12"}</definedName>
    <definedName name="QU" hidden="1">{#N/A,#N/A,FALSE,"Costos Productos 6A";#N/A,#N/A,FALSE,"Costo Unitario Total H-94-12"}</definedName>
    <definedName name="QW" localSheetId="1" hidden="1">{#N/A,#N/A,FALSE,"Costos Productos 6A";#N/A,#N/A,FALSE,"Costo Unitario Total H-94-12"}</definedName>
    <definedName name="QW" hidden="1">{#N/A,#N/A,FALSE,"Costos Productos 6A";#N/A,#N/A,FALSE,"Costo Unitario Total H-94-12"}</definedName>
    <definedName name="qwewertet" localSheetId="1" hidden="1">{#N/A,#N/A,TRUE,"1842CWN0"}</definedName>
    <definedName name="qwewertet" hidden="1">{#N/A,#N/A,TRUE,"1842CWN0"}</definedName>
    <definedName name="RR" hidden="1">[10]DATOS!#REF!</definedName>
    <definedName name="Rwvu.oil." hidden="1">'[9]59y22%'!$BA$1:$BA$65536,'[9]59y22%'!#REF!</definedName>
    <definedName name="Rwvu.oilgasagua." hidden="1">'[9]59y22%'!$B$1:$AT$65536,'[9]59y22%'!$BA$1:$BA$65536</definedName>
    <definedName name="S" localSheetId="1">#REF!</definedName>
    <definedName name="S">#REF!</definedName>
    <definedName name="SALAZAR" localSheetId="1">#REF!</definedName>
    <definedName name="SALAZAR">#REF!</definedName>
    <definedName name="sd" localSheetId="1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sd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SDDSAFF" localSheetId="1" hidden="1">{#N/A,#N/A,TRUE,"1842CWN0"}</definedName>
    <definedName name="SDDSAFF" hidden="1">{#N/A,#N/A,TRUE,"1842CWN0"}</definedName>
    <definedName name="SDFDG" localSheetId="1" hidden="1">{#N/A,#N/A,TRUE,"1842CWN0"}</definedName>
    <definedName name="SDFDG" hidden="1">{#N/A,#N/A,TRUE,"1842CWN0"}</definedName>
    <definedName name="sdfsdgg" localSheetId="1" hidden="1">{#N/A,#N/A,TRUE,"INGENIERIA";#N/A,#N/A,TRUE,"COMPRAS";#N/A,#N/A,TRUE,"DIRECCION";#N/A,#N/A,TRUE,"RESUMEN"}</definedName>
    <definedName name="sdfsdgg" hidden="1">{#N/A,#N/A,TRUE,"INGENIERIA";#N/A,#N/A,TRUE,"COMPRAS";#N/A,#N/A,TRUE,"DIRECCION";#N/A,#N/A,TRUE,"RESUMEN"}</definedName>
    <definedName name="sdsdfsdff" localSheetId="1" hidden="1">{#N/A,#N/A,TRUE,"1842CWN0"}</definedName>
    <definedName name="sdsdfsdff" hidden="1">{#N/A,#N/A,TRUE,"1842CWN0"}</definedName>
    <definedName name="ss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ss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tb_h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tb_h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TK" localSheetId="1" hidden="1">[11]INST!#REF!</definedName>
    <definedName name="TK" hidden="1">[11]INST!#REF!</definedName>
    <definedName name="TUBERIA" localSheetId="1" hidden="1">#REF!</definedName>
    <definedName name="TUBERIA" hidden="1">#REF!</definedName>
    <definedName name="unj" localSheetId="1" hidden="1">[4]INST!#REF!</definedName>
    <definedName name="unj" hidden="1">[4]INST!#REF!</definedName>
    <definedName name="vcvvc" localSheetId="1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vcvvc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vvvvvv" localSheetId="1" hidden="1">{#N/A,#N/A,FALSE,"Costos Productos 6A";#N/A,#N/A,FALSE,"Costo Unitario Total H-94-12"}</definedName>
    <definedName name="vvvvvv" hidden="1">{#N/A,#N/A,FALSE,"Costos Productos 6A";#N/A,#N/A,FALSE,"Costo Unitario Total H-94-12"}</definedName>
    <definedName name="wrn.ANEXO1." localSheetId="1" hidden="1">{#N/A,#N/A,FALSE,"Costos Contables CIB A 12 1994";#N/A,#N/A,FALSE,"Cuadre Contab. y C. OP"}</definedName>
    <definedName name="wrn.ANEXO1." hidden="1">{#N/A,#N/A,FALSE,"Costos Contables CIB A 12 1994";#N/A,#N/A,FALSE,"Cuadre Contab. y C. OP"}</definedName>
    <definedName name="wrn.anexo5." localSheetId="1" hidden="1">{#N/A,#N/A,FALSE,"CIBHA05A";#N/A,#N/A,FALSE,"CIBHA05B"}</definedName>
    <definedName name="wrn.anexo5." hidden="1">{#N/A,#N/A,FALSE,"CIBHA05A";#N/A,#N/A,FALSE,"CIBHA05B"}</definedName>
    <definedName name="wrn.anexo6." localSheetId="1" hidden="1">{#N/A,#N/A,FALSE,"Costos Productos 6A";#N/A,#N/A,FALSE,"Costo Unitario Total H-94-12"}</definedName>
    <definedName name="wrn.anexo6." hidden="1">{#N/A,#N/A,FALSE,"Costos Productos 6A";#N/A,#N/A,FALSE,"Costo Unitario Total H-94-12"}</definedName>
    <definedName name="wrn.CAR." localSheetId="1" hidden="1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CAR." hidden="1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civil._.works." localSheetId="1" hidden="1">{#N/A,#N/A,TRUE,"1842CWN0"}</definedName>
    <definedName name="wrn.civil._.works." hidden="1">{#N/A,#N/A,TRUE,"1842CWN0"}</definedName>
    <definedName name="wrn.FORMATOS." localSheetId="1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ATOS.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GERENCIA." localSheetId="1" hidden="1">{#N/A,#N/A,TRUE,"INGENIERIA";#N/A,#N/A,TRUE,"COMPRAS";#N/A,#N/A,TRUE,"DIRECCION";#N/A,#N/A,TRUE,"RESUMEN"}</definedName>
    <definedName name="wrn.GERENCIA." hidden="1">{#N/A,#N/A,TRUE,"INGENIERIA";#N/A,#N/A,TRUE,"COMPRAS";#N/A,#N/A,TRUE,"DIRECCION";#N/A,#N/A,TRUE,"RESUMEN"}</definedName>
    <definedName name="wrn.INFOCIB.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rn.INFOCIB.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rn.Kr.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wrn.Kr.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wrn.procurement." localSheetId="1" hidden="1">{#N/A,#N/A,FALSE,"sumi ";#N/A,#N/A,FALSE,"RESUMEN"}</definedName>
    <definedName name="wrn.procurement." hidden="1">{#N/A,#N/A,FALSE,"sumi ";#N/A,#N/A,FALSE,"RESUMEN"}</definedName>
    <definedName name="wrn.tables." localSheetId="1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wrn.tables.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wvu.oil." localSheetId="1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wvu.oil.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wvu.oilgasagua." localSheetId="1" hidden="1">{TRUE,TRUE,-0.8,-17,618,378,FALSE,FALSE,TRUE,TRUE,0,46,#N/A,77,#N/A,11.8461538461538,187.058823529412,1,FALSE,FALSE,3,TRUE,1,FALSE,75,"Swvu.oilgasagua.","ACwvu.oilgasagua.",#N/A,FALSE,FALSE,0.196850393700787,0.196850393700787,0.196850393700787,0.196850393700787,2,"","",TRUE,TRUE,FALSE,FALSE,1,#N/A,1,1,"=R1C1:R248C51",FALSE,"Rwvu.oilgasagua.","Cwvu.oilgasagua.",FALSE,FALSE,FALSE,1,600,600,FALSE,FALSE,TRUE,TRUE,TRUE}</definedName>
    <definedName name="wvu.oilgasagua." hidden="1">{TRUE,TRUE,-0.8,-17,618,378,FALSE,FALSE,TRUE,TRUE,0,46,#N/A,77,#N/A,11.8461538461538,187.058823529412,1,FALSE,FALSE,3,TRUE,1,FALSE,75,"Swvu.oilgasagua.","ACwvu.oilgasagua.",#N/A,FALSE,FALSE,0.196850393700787,0.196850393700787,0.196850393700787,0.196850393700787,2,"","",TRUE,TRUE,FALSE,FALSE,1,#N/A,1,1,"=R1C1:R248C51",FALSE,"Rwvu.oilgasagua.","Cwvu.oilgasagua.",FALSE,FALSE,FALSE,1,600,600,FALSE,FALSE,TRUE,TRUE,TRUE}</definedName>
    <definedName name="wvu.RCEIBAS1." localSheetId="1" hidden="1">{TRUE,TRUE,-0.8,-17,618,355.8,FALSE,TRUE,TRUE,TRUE,0,1,#N/A,1,#N/A,16.9838709677419,50.6666666666667,1,FALSE,FALSE,3,TRUE,1,FALSE,80,"Swvu.RCEIBAS1.","ACwvu.RCEIBAS1.",#N/A,FALSE,FALSE,0.196850393700787,0.196850393700787,0.196850393700787,0.196850393700787,2,"","",TRUE,TRUE,FALSE,TRUE,1,#N/A,1,1,"=R1C1:R228C37",FALSE,#N/A,"Cwvu.RCEIBAS1.",FALSE,FALSE,FALSE,1,600,600,FALSE,FALSE,TRUE,TRUE,TRUE}</definedName>
    <definedName name="wvu.RCEIBAS1." hidden="1">{TRUE,TRUE,-0.8,-17,618,355.8,FALSE,TRUE,TRUE,TRUE,0,1,#N/A,1,#N/A,16.9838709677419,50.6666666666667,1,FALSE,FALSE,3,TRUE,1,FALSE,80,"Swvu.RCEIBAS1.","ACwvu.RCEIBAS1.",#N/A,FALSE,FALSE,0.196850393700787,0.196850393700787,0.196850393700787,0.196850393700787,2,"","",TRUE,TRUE,FALSE,TRUE,1,#N/A,1,1,"=R1C1:R228C37",FALSE,#N/A,"Cwvu.RCEIBAS1.",FALSE,FALSE,FALSE,1,600,600,FALSE,FALSE,TRUE,TRUE,TRUE}</definedName>
    <definedName name="wwn.infocib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wn.infocib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XPLOT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XPLOT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XSW" localSheetId="1" hidden="1">{#N/A,#N/A,TRUE,"1842CWN0"}</definedName>
    <definedName name="XSW" hidden="1">{#N/A,#N/A,TRUE,"1842CWN0"}</definedName>
    <definedName name="xxxxx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xxxxx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XZS" hidden="1">#REF!</definedName>
    <definedName name="yyyyy" localSheetId="1" hidden="1">{#N/A,#N/A,FALSE,"Costos Productos 6A";#N/A,#N/A,FALSE,"Costo Unitario Total H-94-12"}</definedName>
    <definedName name="yyyyy" hidden="1">{#N/A,#N/A,FALSE,"Costos Productos 6A";#N/A,#N/A,FALSE,"Costo Unitario Total H-94-12"}</definedName>
    <definedName name="z" hidden="1">#REF!</definedName>
    <definedName name="Z_1F15347C_EA70_491F_A73D_DE5CDEF7875A_.wvu.PrintTitles" hidden="1">#REF!</definedName>
    <definedName name="ZAQ" localSheetId="1" hidden="1">{#N/A,#N/A,TRUE,"INGENIERIA";#N/A,#N/A,TRUE,"COMPRAS";#N/A,#N/A,TRUE,"DIRECCION";#N/A,#N/A,TRUE,"RESUMEN"}</definedName>
    <definedName name="ZAQ" hidden="1">{#N/A,#N/A,TRUE,"INGENIERIA";#N/A,#N/A,TRUE,"COMPRAS";#N/A,#N/A,TRUE,"DIRECCION";#N/A,#N/A,TRUE,"RESUMEN"}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0" i="2" l="1"/>
  <c r="M50" i="2" s="1"/>
  <c r="K49" i="2"/>
  <c r="M49" i="2" s="1"/>
  <c r="K48" i="2"/>
  <c r="M48" i="2" s="1"/>
  <c r="K47" i="2"/>
  <c r="M47" i="2" s="1"/>
  <c r="M46" i="2"/>
  <c r="K46" i="2"/>
  <c r="A46" i="2"/>
  <c r="A47" i="2" s="1"/>
  <c r="A48" i="2" s="1"/>
  <c r="A49" i="2" s="1"/>
  <c r="A50" i="2" s="1"/>
  <c r="M45" i="2"/>
  <c r="K45" i="2"/>
  <c r="M40" i="2"/>
  <c r="K40" i="2"/>
  <c r="M39" i="2"/>
  <c r="K39" i="2"/>
  <c r="M38" i="2"/>
  <c r="K38" i="2"/>
  <c r="J37" i="2"/>
  <c r="J36" i="2"/>
  <c r="A36" i="2"/>
  <c r="A37" i="2" s="1"/>
  <c r="A38" i="2" s="1"/>
  <c r="A39" i="2" s="1"/>
  <c r="A40" i="2" s="1"/>
  <c r="J35" i="2"/>
  <c r="J31" i="2"/>
  <c r="M30" i="2"/>
  <c r="K30" i="2"/>
  <c r="M29" i="2"/>
  <c r="K29" i="2"/>
  <c r="M28" i="2"/>
  <c r="K28" i="2"/>
  <c r="M27" i="2"/>
  <c r="K27" i="2"/>
  <c r="K26" i="2"/>
  <c r="M26" i="2" s="1"/>
  <c r="A26" i="2"/>
  <c r="A27" i="2" s="1"/>
  <c r="A28" i="2" s="1"/>
  <c r="A29" i="2" s="1"/>
  <c r="A30" i="2" s="1"/>
  <c r="K25" i="2"/>
  <c r="K31" i="2" s="1"/>
  <c r="J25" i="2"/>
  <c r="M18" i="2"/>
  <c r="M17" i="2"/>
  <c r="J16" i="2"/>
  <c r="M16" i="2" s="1"/>
  <c r="J15" i="2"/>
  <c r="M15" i="2" s="1"/>
  <c r="J14" i="2"/>
  <c r="M14" i="2" s="1"/>
  <c r="A14" i="2"/>
  <c r="A15" i="2" s="1"/>
  <c r="A16" i="2" s="1"/>
  <c r="A17" i="2" s="1"/>
  <c r="A18" i="2" s="1"/>
  <c r="J13" i="2"/>
  <c r="J19" i="2" s="1"/>
  <c r="O10" i="2"/>
  <c r="O9" i="2"/>
  <c r="O8" i="2"/>
  <c r="O7" i="2"/>
  <c r="O6" i="2"/>
  <c r="O5" i="2"/>
  <c r="O4" i="2"/>
  <c r="AA435" i="1"/>
  <c r="AA429" i="1"/>
  <c r="U429" i="1"/>
  <c r="F429" i="1"/>
  <c r="U425" i="1"/>
  <c r="L418" i="1"/>
  <c r="I411" i="1"/>
  <c r="U399" i="1"/>
  <c r="T399" i="1"/>
  <c r="R399" i="1"/>
  <c r="O399" i="1"/>
  <c r="U398" i="1"/>
  <c r="T398" i="1"/>
  <c r="R398" i="1"/>
  <c r="O398" i="1"/>
  <c r="U397" i="1"/>
  <c r="T397" i="1"/>
  <c r="R397" i="1"/>
  <c r="O397" i="1"/>
  <c r="U396" i="1"/>
  <c r="T396" i="1"/>
  <c r="R396" i="1"/>
  <c r="O396" i="1"/>
  <c r="U395" i="1"/>
  <c r="T395" i="1"/>
  <c r="R395" i="1"/>
  <c r="O395" i="1"/>
  <c r="U394" i="1"/>
  <c r="T394" i="1"/>
  <c r="R394" i="1"/>
  <c r="O394" i="1"/>
  <c r="U393" i="1"/>
  <c r="T393" i="1"/>
  <c r="R393" i="1"/>
  <c r="O393" i="1"/>
  <c r="U392" i="1"/>
  <c r="U400" i="1" s="1"/>
  <c r="T392" i="1"/>
  <c r="R392" i="1"/>
  <c r="R400" i="1" s="1"/>
  <c r="O392" i="1"/>
  <c r="L392" i="1"/>
  <c r="L400" i="1" s="1"/>
  <c r="Y391" i="1"/>
  <c r="U391" i="1"/>
  <c r="Z391" i="1" s="1"/>
  <c r="T391" i="1"/>
  <c r="R391" i="1"/>
  <c r="O391" i="1"/>
  <c r="O400" i="1" s="1"/>
  <c r="Z390" i="1"/>
  <c r="Y390" i="1"/>
  <c r="Y389" i="1"/>
  <c r="Z389" i="1" s="1"/>
  <c r="Z388" i="1"/>
  <c r="Y388" i="1"/>
  <c r="R383" i="1"/>
  <c r="O383" i="1"/>
  <c r="R382" i="1"/>
  <c r="T381" i="1"/>
  <c r="U381" i="1" s="1"/>
  <c r="O381" i="1"/>
  <c r="U380" i="1"/>
  <c r="T380" i="1"/>
  <c r="O380" i="1"/>
  <c r="U379" i="1"/>
  <c r="T379" i="1"/>
  <c r="O379" i="1"/>
  <c r="T378" i="1"/>
  <c r="U378" i="1" s="1"/>
  <c r="O378" i="1"/>
  <c r="T377" i="1"/>
  <c r="U377" i="1" s="1"/>
  <c r="O377" i="1"/>
  <c r="U376" i="1"/>
  <c r="T376" i="1"/>
  <c r="O376" i="1"/>
  <c r="U375" i="1"/>
  <c r="T375" i="1"/>
  <c r="O375" i="1"/>
  <c r="T374" i="1"/>
  <c r="U374" i="1" s="1"/>
  <c r="O374" i="1"/>
  <c r="T373" i="1"/>
  <c r="U373" i="1" s="1"/>
  <c r="O373" i="1"/>
  <c r="U372" i="1"/>
  <c r="T372" i="1"/>
  <c r="R372" i="1"/>
  <c r="Z369" i="1"/>
  <c r="Y369" i="1"/>
  <c r="Y368" i="1"/>
  <c r="Z368" i="1" s="1"/>
  <c r="T363" i="1"/>
  <c r="U362" i="1"/>
  <c r="T362" i="1"/>
  <c r="R362" i="1"/>
  <c r="O362" i="1"/>
  <c r="L362" i="1"/>
  <c r="T361" i="1"/>
  <c r="U361" i="1" s="1"/>
  <c r="R361" i="1"/>
  <c r="O361" i="1"/>
  <c r="L361" i="1"/>
  <c r="T360" i="1"/>
  <c r="U360" i="1" s="1"/>
  <c r="R360" i="1"/>
  <c r="O360" i="1"/>
  <c r="L360" i="1"/>
  <c r="U359" i="1"/>
  <c r="T359" i="1"/>
  <c r="R359" i="1"/>
  <c r="O359" i="1"/>
  <c r="L359" i="1"/>
  <c r="U358" i="1"/>
  <c r="T358" i="1"/>
  <c r="R358" i="1"/>
  <c r="O358" i="1"/>
  <c r="L358" i="1"/>
  <c r="T357" i="1"/>
  <c r="U357" i="1" s="1"/>
  <c r="R357" i="1"/>
  <c r="O357" i="1"/>
  <c r="L357" i="1"/>
  <c r="T356" i="1"/>
  <c r="U356" i="1" s="1"/>
  <c r="R356" i="1"/>
  <c r="O356" i="1"/>
  <c r="T355" i="1"/>
  <c r="U355" i="1" s="1"/>
  <c r="R355" i="1"/>
  <c r="O355" i="1"/>
  <c r="L355" i="1"/>
  <c r="U354" i="1"/>
  <c r="T354" i="1"/>
  <c r="R354" i="1"/>
  <c r="O354" i="1"/>
  <c r="L354" i="1"/>
  <c r="U353" i="1"/>
  <c r="T353" i="1"/>
  <c r="R353" i="1"/>
  <c r="O353" i="1"/>
  <c r="L353" i="1"/>
  <c r="T352" i="1"/>
  <c r="U352" i="1" s="1"/>
  <c r="R352" i="1"/>
  <c r="O352" i="1"/>
  <c r="L352" i="1"/>
  <c r="T351" i="1"/>
  <c r="U351" i="1" s="1"/>
  <c r="R351" i="1"/>
  <c r="O351" i="1"/>
  <c r="L351" i="1"/>
  <c r="U350" i="1"/>
  <c r="T350" i="1"/>
  <c r="R350" i="1"/>
  <c r="O350" i="1"/>
  <c r="L350" i="1"/>
  <c r="U349" i="1"/>
  <c r="T349" i="1"/>
  <c r="R349" i="1"/>
  <c r="O349" i="1"/>
  <c r="L349" i="1"/>
  <c r="T348" i="1"/>
  <c r="U348" i="1" s="1"/>
  <c r="R348" i="1"/>
  <c r="O348" i="1"/>
  <c r="L348" i="1"/>
  <c r="T347" i="1"/>
  <c r="U347" i="1" s="1"/>
  <c r="R347" i="1"/>
  <c r="O347" i="1"/>
  <c r="L347" i="1"/>
  <c r="U346" i="1"/>
  <c r="T346" i="1"/>
  <c r="R346" i="1"/>
  <c r="O346" i="1"/>
  <c r="L346" i="1"/>
  <c r="U345" i="1"/>
  <c r="T345" i="1"/>
  <c r="R345" i="1"/>
  <c r="O345" i="1"/>
  <c r="L345" i="1"/>
  <c r="T344" i="1"/>
  <c r="U344" i="1" s="1"/>
  <c r="R344" i="1"/>
  <c r="O344" i="1"/>
  <c r="L344" i="1"/>
  <c r="T343" i="1"/>
  <c r="U343" i="1" s="1"/>
  <c r="R343" i="1"/>
  <c r="O343" i="1"/>
  <c r="L343" i="1"/>
  <c r="U342" i="1"/>
  <c r="T342" i="1"/>
  <c r="R342" i="1"/>
  <c r="O342" i="1"/>
  <c r="L342" i="1"/>
  <c r="U341" i="1"/>
  <c r="T341" i="1"/>
  <c r="R341" i="1"/>
  <c r="O341" i="1"/>
  <c r="L341" i="1"/>
  <c r="T340" i="1"/>
  <c r="U340" i="1" s="1"/>
  <c r="R340" i="1"/>
  <c r="O340" i="1"/>
  <c r="L340" i="1"/>
  <c r="T339" i="1"/>
  <c r="U339" i="1" s="1"/>
  <c r="R339" i="1"/>
  <c r="O339" i="1"/>
  <c r="L339" i="1"/>
  <c r="U338" i="1"/>
  <c r="T338" i="1"/>
  <c r="R338" i="1"/>
  <c r="O338" i="1"/>
  <c r="L338" i="1"/>
  <c r="L337" i="1"/>
  <c r="L336" i="1"/>
  <c r="T335" i="1"/>
  <c r="U335" i="1" s="1"/>
  <c r="R335" i="1"/>
  <c r="L335" i="1"/>
  <c r="T334" i="1"/>
  <c r="U334" i="1" s="1"/>
  <c r="R334" i="1"/>
  <c r="L334" i="1"/>
  <c r="T333" i="1"/>
  <c r="U333" i="1" s="1"/>
  <c r="R333" i="1"/>
  <c r="O333" i="1"/>
  <c r="L333" i="1"/>
  <c r="U332" i="1"/>
  <c r="T332" i="1"/>
  <c r="R332" i="1"/>
  <c r="O332" i="1"/>
  <c r="L332" i="1"/>
  <c r="U331" i="1"/>
  <c r="T331" i="1"/>
  <c r="R331" i="1"/>
  <c r="O331" i="1"/>
  <c r="L331" i="1"/>
  <c r="T330" i="1"/>
  <c r="U330" i="1" s="1"/>
  <c r="R330" i="1"/>
  <c r="L330" i="1"/>
  <c r="T329" i="1"/>
  <c r="U329" i="1" s="1"/>
  <c r="R329" i="1"/>
  <c r="O329" i="1"/>
  <c r="L329" i="1"/>
  <c r="T328" i="1"/>
  <c r="U328" i="1" s="1"/>
  <c r="R328" i="1"/>
  <c r="O328" i="1"/>
  <c r="L328" i="1"/>
  <c r="U327" i="1"/>
  <c r="T327" i="1"/>
  <c r="R327" i="1"/>
  <c r="O327" i="1"/>
  <c r="L327" i="1"/>
  <c r="U326" i="1"/>
  <c r="T326" i="1"/>
  <c r="R326" i="1"/>
  <c r="O326" i="1"/>
  <c r="L326" i="1"/>
  <c r="T325" i="1"/>
  <c r="U325" i="1" s="1"/>
  <c r="R325" i="1"/>
  <c r="O325" i="1"/>
  <c r="L325" i="1"/>
  <c r="T324" i="1"/>
  <c r="U324" i="1" s="1"/>
  <c r="R324" i="1"/>
  <c r="O324" i="1"/>
  <c r="L324" i="1"/>
  <c r="U323" i="1"/>
  <c r="T323" i="1"/>
  <c r="R323" i="1"/>
  <c r="O323" i="1"/>
  <c r="L323" i="1"/>
  <c r="U322" i="1"/>
  <c r="T322" i="1"/>
  <c r="R322" i="1"/>
  <c r="O322" i="1"/>
  <c r="L322" i="1"/>
  <c r="T321" i="1"/>
  <c r="U321" i="1" s="1"/>
  <c r="R321" i="1"/>
  <c r="O321" i="1"/>
  <c r="L321" i="1"/>
  <c r="T320" i="1"/>
  <c r="U320" i="1" s="1"/>
  <c r="R320" i="1"/>
  <c r="O320" i="1"/>
  <c r="L320" i="1"/>
  <c r="U319" i="1"/>
  <c r="T319" i="1"/>
  <c r="R319" i="1"/>
  <c r="O319" i="1"/>
  <c r="L319" i="1"/>
  <c r="U318" i="1"/>
  <c r="T318" i="1"/>
  <c r="R318" i="1"/>
  <c r="O318" i="1"/>
  <c r="L318" i="1"/>
  <c r="T317" i="1"/>
  <c r="U317" i="1" s="1"/>
  <c r="R317" i="1"/>
  <c r="L317" i="1"/>
  <c r="T316" i="1"/>
  <c r="U316" i="1" s="1"/>
  <c r="R316" i="1"/>
  <c r="O316" i="1"/>
  <c r="L316" i="1"/>
  <c r="L315" i="1"/>
  <c r="C315" i="1"/>
  <c r="B315" i="1"/>
  <c r="T314" i="1"/>
  <c r="U314" i="1" s="1"/>
  <c r="R314" i="1"/>
  <c r="O314" i="1"/>
  <c r="L314" i="1"/>
  <c r="T313" i="1"/>
  <c r="U313" i="1" s="1"/>
  <c r="R313" i="1"/>
  <c r="O313" i="1"/>
  <c r="L313" i="1"/>
  <c r="U312" i="1"/>
  <c r="T312" i="1"/>
  <c r="R312" i="1"/>
  <c r="O312" i="1"/>
  <c r="L312" i="1"/>
  <c r="U311" i="1"/>
  <c r="T311" i="1"/>
  <c r="R311" i="1"/>
  <c r="O311" i="1"/>
  <c r="L311" i="1"/>
  <c r="T310" i="1"/>
  <c r="U310" i="1" s="1"/>
  <c r="R310" i="1"/>
  <c r="O310" i="1"/>
  <c r="L310" i="1"/>
  <c r="T309" i="1"/>
  <c r="U309" i="1" s="1"/>
  <c r="R309" i="1"/>
  <c r="O309" i="1"/>
  <c r="L309" i="1"/>
  <c r="U308" i="1"/>
  <c r="T308" i="1"/>
  <c r="R308" i="1"/>
  <c r="O308" i="1"/>
  <c r="L308" i="1"/>
  <c r="U307" i="1"/>
  <c r="T307" i="1"/>
  <c r="R307" i="1"/>
  <c r="O307" i="1"/>
  <c r="L307" i="1"/>
  <c r="J307" i="1"/>
  <c r="T306" i="1"/>
  <c r="U306" i="1" s="1"/>
  <c r="R306" i="1"/>
  <c r="O306" i="1"/>
  <c r="L306" i="1"/>
  <c r="U305" i="1"/>
  <c r="T305" i="1"/>
  <c r="R305" i="1"/>
  <c r="O305" i="1"/>
  <c r="L305" i="1"/>
  <c r="U304" i="1"/>
  <c r="T304" i="1"/>
  <c r="R304" i="1"/>
  <c r="O304" i="1"/>
  <c r="L304" i="1"/>
  <c r="T303" i="1"/>
  <c r="U303" i="1" s="1"/>
  <c r="R303" i="1"/>
  <c r="O303" i="1"/>
  <c r="L303" i="1"/>
  <c r="T302" i="1"/>
  <c r="U302" i="1" s="1"/>
  <c r="R302" i="1"/>
  <c r="L302" i="1"/>
  <c r="T301" i="1"/>
  <c r="U301" i="1" s="1"/>
  <c r="R301" i="1"/>
  <c r="O301" i="1"/>
  <c r="L301" i="1"/>
  <c r="U300" i="1"/>
  <c r="T300" i="1"/>
  <c r="R300" i="1"/>
  <c r="O300" i="1"/>
  <c r="L300" i="1"/>
  <c r="U299" i="1"/>
  <c r="T299" i="1"/>
  <c r="R299" i="1"/>
  <c r="O299" i="1"/>
  <c r="L299" i="1"/>
  <c r="T298" i="1"/>
  <c r="U298" i="1" s="1"/>
  <c r="R298" i="1"/>
  <c r="O298" i="1"/>
  <c r="L298" i="1"/>
  <c r="AA297" i="1"/>
  <c r="U297" i="1"/>
  <c r="T297" i="1"/>
  <c r="R297" i="1"/>
  <c r="O297" i="1"/>
  <c r="L297" i="1"/>
  <c r="AA296" i="1"/>
  <c r="T296" i="1"/>
  <c r="U296" i="1" s="1"/>
  <c r="R296" i="1"/>
  <c r="O296" i="1"/>
  <c r="L296" i="1"/>
  <c r="AA295" i="1"/>
  <c r="U295" i="1"/>
  <c r="T295" i="1"/>
  <c r="R295" i="1"/>
  <c r="O295" i="1"/>
  <c r="L295" i="1"/>
  <c r="AA294" i="1"/>
  <c r="T294" i="1"/>
  <c r="U294" i="1" s="1"/>
  <c r="R294" i="1"/>
  <c r="O294" i="1"/>
  <c r="L294" i="1"/>
  <c r="AA293" i="1"/>
  <c r="U293" i="1"/>
  <c r="T293" i="1"/>
  <c r="R293" i="1"/>
  <c r="O293" i="1"/>
  <c r="L293" i="1"/>
  <c r="AA292" i="1"/>
  <c r="T292" i="1"/>
  <c r="U292" i="1" s="1"/>
  <c r="R292" i="1"/>
  <c r="O292" i="1"/>
  <c r="L292" i="1"/>
  <c r="AA291" i="1"/>
  <c r="U291" i="1"/>
  <c r="T291" i="1"/>
  <c r="R291" i="1"/>
  <c r="R363" i="1" s="1"/>
  <c r="R365" i="1" s="1"/>
  <c r="O291" i="1"/>
  <c r="O363" i="1" s="1"/>
  <c r="L291" i="1"/>
  <c r="L363" i="1" s="1"/>
  <c r="T290" i="1"/>
  <c r="L290" i="1"/>
  <c r="T287" i="1"/>
  <c r="U286" i="1"/>
  <c r="T286" i="1"/>
  <c r="K286" i="1"/>
  <c r="R286" i="1" s="1"/>
  <c r="T285" i="1"/>
  <c r="U285" i="1" s="1"/>
  <c r="R285" i="1"/>
  <c r="O285" i="1"/>
  <c r="K285" i="1"/>
  <c r="J285" i="1"/>
  <c r="L285" i="1" s="1"/>
  <c r="U284" i="1"/>
  <c r="T284" i="1"/>
  <c r="R284" i="1"/>
  <c r="O284" i="1"/>
  <c r="L284" i="1"/>
  <c r="K284" i="1"/>
  <c r="J284" i="1"/>
  <c r="U283" i="1"/>
  <c r="T283" i="1"/>
  <c r="L283" i="1"/>
  <c r="K283" i="1"/>
  <c r="O283" i="1" s="1"/>
  <c r="J283" i="1"/>
  <c r="T282" i="1"/>
  <c r="U282" i="1" s="1"/>
  <c r="K282" i="1"/>
  <c r="R282" i="1" s="1"/>
  <c r="J282" i="1"/>
  <c r="L282" i="1" s="1"/>
  <c r="AB277" i="1"/>
  <c r="T277" i="1"/>
  <c r="U276" i="1"/>
  <c r="T276" i="1"/>
  <c r="R276" i="1"/>
  <c r="O276" i="1"/>
  <c r="L276" i="1"/>
  <c r="U275" i="1"/>
  <c r="T275" i="1"/>
  <c r="R275" i="1"/>
  <c r="O275" i="1"/>
  <c r="L275" i="1"/>
  <c r="T274" i="1"/>
  <c r="U274" i="1" s="1"/>
  <c r="R274" i="1"/>
  <c r="O274" i="1"/>
  <c r="L274" i="1"/>
  <c r="U273" i="1"/>
  <c r="T273" i="1"/>
  <c r="R273" i="1"/>
  <c r="O273" i="1"/>
  <c r="L273" i="1"/>
  <c r="U272" i="1"/>
  <c r="T272" i="1"/>
  <c r="R272" i="1"/>
  <c r="O272" i="1"/>
  <c r="L272" i="1"/>
  <c r="T271" i="1"/>
  <c r="U271" i="1" s="1"/>
  <c r="R271" i="1"/>
  <c r="O271" i="1"/>
  <c r="L271" i="1"/>
  <c r="T270" i="1"/>
  <c r="U270" i="1" s="1"/>
  <c r="R270" i="1"/>
  <c r="O270" i="1"/>
  <c r="L270" i="1"/>
  <c r="AB269" i="1"/>
  <c r="U269" i="1"/>
  <c r="T269" i="1"/>
  <c r="R269" i="1"/>
  <c r="O269" i="1"/>
  <c r="L269" i="1"/>
  <c r="T268" i="1"/>
  <c r="U268" i="1" s="1"/>
  <c r="R268" i="1"/>
  <c r="O268" i="1"/>
  <c r="L268" i="1"/>
  <c r="T267" i="1"/>
  <c r="U267" i="1" s="1"/>
  <c r="R267" i="1"/>
  <c r="O267" i="1"/>
  <c r="L267" i="1"/>
  <c r="U266" i="1"/>
  <c r="T266" i="1"/>
  <c r="R266" i="1"/>
  <c r="O266" i="1"/>
  <c r="L266" i="1"/>
  <c r="U265" i="1"/>
  <c r="T265" i="1"/>
  <c r="R265" i="1"/>
  <c r="O265" i="1"/>
  <c r="L265" i="1"/>
  <c r="T264" i="1"/>
  <c r="U264" i="1" s="1"/>
  <c r="R264" i="1"/>
  <c r="O264" i="1"/>
  <c r="L264" i="1"/>
  <c r="T263" i="1"/>
  <c r="U263" i="1" s="1"/>
  <c r="R263" i="1"/>
  <c r="O263" i="1"/>
  <c r="L263" i="1"/>
  <c r="U262" i="1"/>
  <c r="T262" i="1"/>
  <c r="R262" i="1"/>
  <c r="O262" i="1"/>
  <c r="L262" i="1"/>
  <c r="U261" i="1"/>
  <c r="T261" i="1"/>
  <c r="R261" i="1"/>
  <c r="O261" i="1"/>
  <c r="L261" i="1"/>
  <c r="T260" i="1"/>
  <c r="U260" i="1" s="1"/>
  <c r="R260" i="1"/>
  <c r="O260" i="1"/>
  <c r="L260" i="1"/>
  <c r="T259" i="1"/>
  <c r="U259" i="1" s="1"/>
  <c r="R259" i="1"/>
  <c r="O259" i="1"/>
  <c r="L259" i="1"/>
  <c r="U258" i="1"/>
  <c r="T258" i="1"/>
  <c r="R258" i="1"/>
  <c r="O258" i="1"/>
  <c r="L258" i="1"/>
  <c r="U257" i="1"/>
  <c r="T257" i="1"/>
  <c r="R257" i="1"/>
  <c r="O257" i="1"/>
  <c r="L257" i="1"/>
  <c r="T256" i="1"/>
  <c r="U256" i="1" s="1"/>
  <c r="R256" i="1"/>
  <c r="O256" i="1"/>
  <c r="L256" i="1"/>
  <c r="T255" i="1"/>
  <c r="U255" i="1" s="1"/>
  <c r="R255" i="1"/>
  <c r="O255" i="1"/>
  <c r="L255" i="1"/>
  <c r="U254" i="1"/>
  <c r="T254" i="1"/>
  <c r="R254" i="1"/>
  <c r="O254" i="1"/>
  <c r="L254" i="1"/>
  <c r="U253" i="1"/>
  <c r="T253" i="1"/>
  <c r="R253" i="1"/>
  <c r="O253" i="1"/>
  <c r="L253" i="1"/>
  <c r="T252" i="1"/>
  <c r="U252" i="1" s="1"/>
  <c r="R252" i="1"/>
  <c r="O252" i="1"/>
  <c r="L252" i="1"/>
  <c r="T251" i="1"/>
  <c r="U251" i="1" s="1"/>
  <c r="R251" i="1"/>
  <c r="O251" i="1"/>
  <c r="L251" i="1"/>
  <c r="U250" i="1"/>
  <c r="T250" i="1"/>
  <c r="R250" i="1"/>
  <c r="O250" i="1"/>
  <c r="L250" i="1"/>
  <c r="U249" i="1"/>
  <c r="T249" i="1"/>
  <c r="R249" i="1"/>
  <c r="O249" i="1"/>
  <c r="L249" i="1"/>
  <c r="T248" i="1"/>
  <c r="U248" i="1" s="1"/>
  <c r="R248" i="1"/>
  <c r="O248" i="1"/>
  <c r="L248" i="1"/>
  <c r="T247" i="1"/>
  <c r="U247" i="1" s="1"/>
  <c r="R247" i="1"/>
  <c r="L247" i="1"/>
  <c r="T246" i="1"/>
  <c r="U246" i="1" s="1"/>
  <c r="R246" i="1"/>
  <c r="O246" i="1"/>
  <c r="L246" i="1"/>
  <c r="U245" i="1"/>
  <c r="T245" i="1"/>
  <c r="R245" i="1"/>
  <c r="O245" i="1"/>
  <c r="L245" i="1"/>
  <c r="U244" i="1"/>
  <c r="T244" i="1"/>
  <c r="R244" i="1"/>
  <c r="L244" i="1"/>
  <c r="U243" i="1"/>
  <c r="T243" i="1"/>
  <c r="R243" i="1"/>
  <c r="O243" i="1"/>
  <c r="L243" i="1"/>
  <c r="T242" i="1"/>
  <c r="U242" i="1" s="1"/>
  <c r="R242" i="1"/>
  <c r="O242" i="1"/>
  <c r="L242" i="1"/>
  <c r="T241" i="1"/>
  <c r="U241" i="1" s="1"/>
  <c r="R241" i="1"/>
  <c r="O241" i="1"/>
  <c r="L241" i="1"/>
  <c r="U240" i="1"/>
  <c r="T240" i="1"/>
  <c r="R240" i="1"/>
  <c r="O240" i="1"/>
  <c r="L240" i="1"/>
  <c r="U239" i="1"/>
  <c r="T239" i="1"/>
  <c r="R239" i="1"/>
  <c r="O239" i="1"/>
  <c r="L239" i="1"/>
  <c r="T238" i="1"/>
  <c r="U238" i="1" s="1"/>
  <c r="R238" i="1"/>
  <c r="O238" i="1"/>
  <c r="L238" i="1"/>
  <c r="T237" i="1"/>
  <c r="U237" i="1" s="1"/>
  <c r="R237" i="1"/>
  <c r="O237" i="1"/>
  <c r="L237" i="1"/>
  <c r="U236" i="1"/>
  <c r="T236" i="1"/>
  <c r="R236" i="1"/>
  <c r="O236" i="1"/>
  <c r="L236" i="1"/>
  <c r="U235" i="1"/>
  <c r="T235" i="1"/>
  <c r="R235" i="1"/>
  <c r="O235" i="1"/>
  <c r="L235" i="1"/>
  <c r="T234" i="1"/>
  <c r="U234" i="1" s="1"/>
  <c r="R234" i="1"/>
  <c r="O234" i="1"/>
  <c r="L234" i="1"/>
  <c r="T233" i="1"/>
  <c r="U233" i="1" s="1"/>
  <c r="R233" i="1"/>
  <c r="O233" i="1"/>
  <c r="L233" i="1"/>
  <c r="U232" i="1"/>
  <c r="T232" i="1"/>
  <c r="R232" i="1"/>
  <c r="O232" i="1"/>
  <c r="L232" i="1"/>
  <c r="U231" i="1"/>
  <c r="T231" i="1"/>
  <c r="R231" i="1"/>
  <c r="L231" i="1"/>
  <c r="U230" i="1"/>
  <c r="T230" i="1"/>
  <c r="R230" i="1"/>
  <c r="L230" i="1"/>
  <c r="O229" i="1"/>
  <c r="L229" i="1"/>
  <c r="T228" i="1"/>
  <c r="U228" i="1" s="1"/>
  <c r="R228" i="1"/>
  <c r="O228" i="1"/>
  <c r="L228" i="1"/>
  <c r="U227" i="1"/>
  <c r="T227" i="1"/>
  <c r="R227" i="1"/>
  <c r="O227" i="1"/>
  <c r="L227" i="1"/>
  <c r="U226" i="1"/>
  <c r="T226" i="1"/>
  <c r="R226" i="1"/>
  <c r="O226" i="1"/>
  <c r="L226" i="1"/>
  <c r="T225" i="1"/>
  <c r="U225" i="1" s="1"/>
  <c r="R225" i="1"/>
  <c r="L225" i="1"/>
  <c r="T224" i="1"/>
  <c r="U224" i="1" s="1"/>
  <c r="R224" i="1"/>
  <c r="O224" i="1"/>
  <c r="L224" i="1"/>
  <c r="T223" i="1"/>
  <c r="U223" i="1" s="1"/>
  <c r="R223" i="1"/>
  <c r="O223" i="1"/>
  <c r="L223" i="1"/>
  <c r="U222" i="1"/>
  <c r="T222" i="1"/>
  <c r="R222" i="1"/>
  <c r="O222" i="1"/>
  <c r="L222" i="1"/>
  <c r="U221" i="1"/>
  <c r="T221" i="1"/>
  <c r="R221" i="1"/>
  <c r="O221" i="1"/>
  <c r="L221" i="1"/>
  <c r="T220" i="1"/>
  <c r="U220" i="1" s="1"/>
  <c r="R220" i="1"/>
  <c r="O220" i="1"/>
  <c r="L220" i="1"/>
  <c r="T219" i="1"/>
  <c r="U219" i="1" s="1"/>
  <c r="R219" i="1"/>
  <c r="O219" i="1"/>
  <c r="L219" i="1"/>
  <c r="U218" i="1"/>
  <c r="T218" i="1"/>
  <c r="R218" i="1"/>
  <c r="O218" i="1"/>
  <c r="L218" i="1"/>
  <c r="U217" i="1"/>
  <c r="T217" i="1"/>
  <c r="R217" i="1"/>
  <c r="O217" i="1"/>
  <c r="L217" i="1"/>
  <c r="T216" i="1"/>
  <c r="U216" i="1" s="1"/>
  <c r="R216" i="1"/>
  <c r="L216" i="1"/>
  <c r="T215" i="1"/>
  <c r="U215" i="1" s="1"/>
  <c r="R215" i="1"/>
  <c r="O215" i="1"/>
  <c r="L215" i="1"/>
  <c r="T214" i="1"/>
  <c r="U214" i="1" s="1"/>
  <c r="R214" i="1"/>
  <c r="O214" i="1"/>
  <c r="L214" i="1"/>
  <c r="U213" i="1"/>
  <c r="T213" i="1"/>
  <c r="R213" i="1"/>
  <c r="O213" i="1"/>
  <c r="L213" i="1"/>
  <c r="U212" i="1"/>
  <c r="T212" i="1"/>
  <c r="R212" i="1"/>
  <c r="O212" i="1"/>
  <c r="L212" i="1"/>
  <c r="T211" i="1"/>
  <c r="U211" i="1" s="1"/>
  <c r="R211" i="1"/>
  <c r="O211" i="1"/>
  <c r="L211" i="1"/>
  <c r="T210" i="1"/>
  <c r="U210" i="1" s="1"/>
  <c r="R210" i="1"/>
  <c r="O210" i="1"/>
  <c r="L210" i="1"/>
  <c r="AA209" i="1"/>
  <c r="U209" i="1"/>
  <c r="T209" i="1"/>
  <c r="R209" i="1"/>
  <c r="O209" i="1"/>
  <c r="L209" i="1"/>
  <c r="T208" i="1"/>
  <c r="U208" i="1" s="1"/>
  <c r="R208" i="1"/>
  <c r="O208" i="1"/>
  <c r="L208" i="1"/>
  <c r="T207" i="1"/>
  <c r="U207" i="1" s="1"/>
  <c r="R207" i="1"/>
  <c r="O207" i="1"/>
  <c r="L207" i="1"/>
  <c r="AA206" i="1"/>
  <c r="U206" i="1"/>
  <c r="T206" i="1"/>
  <c r="R206" i="1"/>
  <c r="O206" i="1"/>
  <c r="L206" i="1"/>
  <c r="T205" i="1"/>
  <c r="U205" i="1" s="1"/>
  <c r="R205" i="1"/>
  <c r="O205" i="1"/>
  <c r="L205" i="1"/>
  <c r="T204" i="1"/>
  <c r="U204" i="1" s="1"/>
  <c r="R204" i="1"/>
  <c r="R277" i="1" s="1"/>
  <c r="O204" i="1"/>
  <c r="O277" i="1" s="1"/>
  <c r="AA273" i="1" s="1"/>
  <c r="L204" i="1"/>
  <c r="L277" i="1" s="1"/>
  <c r="T203" i="1"/>
  <c r="L203" i="1"/>
  <c r="T200" i="1"/>
  <c r="T199" i="1"/>
  <c r="U199" i="1" s="1"/>
  <c r="R199" i="1"/>
  <c r="K199" i="1"/>
  <c r="L199" i="1" s="1"/>
  <c r="U198" i="1"/>
  <c r="T198" i="1"/>
  <c r="L198" i="1"/>
  <c r="K198" i="1"/>
  <c r="O198" i="1" s="1"/>
  <c r="T197" i="1"/>
  <c r="U197" i="1" s="1"/>
  <c r="R197" i="1"/>
  <c r="O197" i="1"/>
  <c r="K197" i="1"/>
  <c r="L197" i="1" s="1"/>
  <c r="U196" i="1"/>
  <c r="T196" i="1"/>
  <c r="L196" i="1"/>
  <c r="K196" i="1"/>
  <c r="R196" i="1" s="1"/>
  <c r="T195" i="1"/>
  <c r="U195" i="1" s="1"/>
  <c r="U200" i="1" s="1"/>
  <c r="R195" i="1"/>
  <c r="O195" i="1"/>
  <c r="K195" i="1"/>
  <c r="J195" i="1"/>
  <c r="L195" i="1" s="1"/>
  <c r="L200" i="1" s="1"/>
  <c r="T191" i="1"/>
  <c r="T190" i="1"/>
  <c r="U190" i="1" s="1"/>
  <c r="R190" i="1"/>
  <c r="O190" i="1"/>
  <c r="L190" i="1"/>
  <c r="T189" i="1"/>
  <c r="U189" i="1" s="1"/>
  <c r="R189" i="1"/>
  <c r="O189" i="1"/>
  <c r="L189" i="1"/>
  <c r="U188" i="1"/>
  <c r="T188" i="1"/>
  <c r="R188" i="1"/>
  <c r="O188" i="1"/>
  <c r="L188" i="1"/>
  <c r="U187" i="1"/>
  <c r="T187" i="1"/>
  <c r="R187" i="1"/>
  <c r="O187" i="1"/>
  <c r="L187" i="1"/>
  <c r="T186" i="1"/>
  <c r="U186" i="1" s="1"/>
  <c r="R186" i="1"/>
  <c r="O186" i="1"/>
  <c r="L186" i="1"/>
  <c r="T185" i="1"/>
  <c r="U185" i="1" s="1"/>
  <c r="R185" i="1"/>
  <c r="O185" i="1"/>
  <c r="L185" i="1"/>
  <c r="U184" i="1"/>
  <c r="T184" i="1"/>
  <c r="R184" i="1"/>
  <c r="O184" i="1"/>
  <c r="L184" i="1"/>
  <c r="U183" i="1"/>
  <c r="T183" i="1"/>
  <c r="R183" i="1"/>
  <c r="O183" i="1"/>
  <c r="L183" i="1"/>
  <c r="T182" i="1"/>
  <c r="U182" i="1" s="1"/>
  <c r="R182" i="1"/>
  <c r="O182" i="1"/>
  <c r="L182" i="1"/>
  <c r="T181" i="1"/>
  <c r="U181" i="1" s="1"/>
  <c r="R181" i="1"/>
  <c r="O181" i="1"/>
  <c r="L181" i="1"/>
  <c r="U180" i="1"/>
  <c r="T180" i="1"/>
  <c r="R180" i="1"/>
  <c r="O180" i="1"/>
  <c r="L180" i="1"/>
  <c r="U179" i="1"/>
  <c r="T179" i="1"/>
  <c r="R179" i="1"/>
  <c r="O179" i="1"/>
  <c r="L179" i="1"/>
  <c r="T178" i="1"/>
  <c r="U178" i="1" s="1"/>
  <c r="R178" i="1"/>
  <c r="O178" i="1"/>
  <c r="L178" i="1"/>
  <c r="T177" i="1"/>
  <c r="U177" i="1" s="1"/>
  <c r="R177" i="1"/>
  <c r="O177" i="1"/>
  <c r="L177" i="1"/>
  <c r="U176" i="1"/>
  <c r="T176" i="1"/>
  <c r="R176" i="1"/>
  <c r="O176" i="1"/>
  <c r="L176" i="1"/>
  <c r="U175" i="1"/>
  <c r="T175" i="1"/>
  <c r="R175" i="1"/>
  <c r="O175" i="1"/>
  <c r="L175" i="1"/>
  <c r="T174" i="1"/>
  <c r="U174" i="1" s="1"/>
  <c r="R174" i="1"/>
  <c r="O174" i="1"/>
  <c r="L174" i="1"/>
  <c r="T173" i="1"/>
  <c r="U173" i="1" s="1"/>
  <c r="R173" i="1"/>
  <c r="O173" i="1"/>
  <c r="L173" i="1"/>
  <c r="U172" i="1"/>
  <c r="T172" i="1"/>
  <c r="R172" i="1"/>
  <c r="O172" i="1"/>
  <c r="L172" i="1"/>
  <c r="U171" i="1"/>
  <c r="T171" i="1"/>
  <c r="R171" i="1"/>
  <c r="O171" i="1"/>
  <c r="L171" i="1"/>
  <c r="T170" i="1"/>
  <c r="U170" i="1" s="1"/>
  <c r="R170" i="1"/>
  <c r="O170" i="1"/>
  <c r="L170" i="1"/>
  <c r="T169" i="1"/>
  <c r="U169" i="1" s="1"/>
  <c r="R169" i="1"/>
  <c r="O169" i="1"/>
  <c r="L169" i="1"/>
  <c r="U168" i="1"/>
  <c r="T168" i="1"/>
  <c r="R168" i="1"/>
  <c r="O168" i="1"/>
  <c r="L168" i="1"/>
  <c r="U167" i="1"/>
  <c r="T167" i="1"/>
  <c r="R167" i="1"/>
  <c r="O167" i="1"/>
  <c r="L167" i="1"/>
  <c r="T166" i="1"/>
  <c r="U166" i="1" s="1"/>
  <c r="R166" i="1"/>
  <c r="O166" i="1"/>
  <c r="L166" i="1"/>
  <c r="T165" i="1"/>
  <c r="U165" i="1" s="1"/>
  <c r="R165" i="1"/>
  <c r="O165" i="1"/>
  <c r="L165" i="1"/>
  <c r="U164" i="1"/>
  <c r="T164" i="1"/>
  <c r="R164" i="1"/>
  <c r="O164" i="1"/>
  <c r="L164" i="1"/>
  <c r="U163" i="1"/>
  <c r="T163" i="1"/>
  <c r="R163" i="1"/>
  <c r="O163" i="1"/>
  <c r="L163" i="1"/>
  <c r="T162" i="1"/>
  <c r="U162" i="1" s="1"/>
  <c r="R162" i="1"/>
  <c r="O162" i="1"/>
  <c r="L162" i="1"/>
  <c r="T161" i="1"/>
  <c r="U161" i="1" s="1"/>
  <c r="R161" i="1"/>
  <c r="O161" i="1"/>
  <c r="L161" i="1"/>
  <c r="U160" i="1"/>
  <c r="T160" i="1"/>
  <c r="R160" i="1"/>
  <c r="O160" i="1"/>
  <c r="L160" i="1"/>
  <c r="U159" i="1"/>
  <c r="T159" i="1"/>
  <c r="R159" i="1"/>
  <c r="O159" i="1"/>
  <c r="L159" i="1"/>
  <c r="T158" i="1"/>
  <c r="U158" i="1" s="1"/>
  <c r="R158" i="1"/>
  <c r="O158" i="1"/>
  <c r="L158" i="1"/>
  <c r="T157" i="1"/>
  <c r="U157" i="1" s="1"/>
  <c r="R157" i="1"/>
  <c r="O157" i="1"/>
  <c r="L157" i="1"/>
  <c r="U156" i="1"/>
  <c r="T156" i="1"/>
  <c r="R156" i="1"/>
  <c r="O156" i="1"/>
  <c r="L156" i="1"/>
  <c r="U155" i="1"/>
  <c r="T155" i="1"/>
  <c r="R155" i="1"/>
  <c r="O155" i="1"/>
  <c r="L155" i="1"/>
  <c r="T154" i="1"/>
  <c r="U154" i="1" s="1"/>
  <c r="R154" i="1"/>
  <c r="O154" i="1"/>
  <c r="L154" i="1"/>
  <c r="O153" i="1"/>
  <c r="L153" i="1"/>
  <c r="U152" i="1"/>
  <c r="T152" i="1"/>
  <c r="R152" i="1"/>
  <c r="O152" i="1"/>
  <c r="L152" i="1"/>
  <c r="T151" i="1"/>
  <c r="U151" i="1" s="1"/>
  <c r="R151" i="1"/>
  <c r="O151" i="1"/>
  <c r="J151" i="1"/>
  <c r="L151" i="1" s="1"/>
  <c r="U150" i="1"/>
  <c r="T150" i="1"/>
  <c r="R150" i="1"/>
  <c r="O150" i="1"/>
  <c r="L150" i="1"/>
  <c r="U149" i="1"/>
  <c r="T149" i="1"/>
  <c r="R149" i="1"/>
  <c r="O149" i="1"/>
  <c r="L149" i="1"/>
  <c r="T148" i="1"/>
  <c r="U148" i="1" s="1"/>
  <c r="R148" i="1"/>
  <c r="O148" i="1"/>
  <c r="L148" i="1"/>
  <c r="T147" i="1"/>
  <c r="U147" i="1" s="1"/>
  <c r="R147" i="1"/>
  <c r="O147" i="1"/>
  <c r="L147" i="1"/>
  <c r="U146" i="1"/>
  <c r="T146" i="1"/>
  <c r="R146" i="1"/>
  <c r="O146" i="1"/>
  <c r="L146" i="1"/>
  <c r="U145" i="1"/>
  <c r="T145" i="1"/>
  <c r="R145" i="1"/>
  <c r="O145" i="1"/>
  <c r="L145" i="1"/>
  <c r="T144" i="1"/>
  <c r="U144" i="1" s="1"/>
  <c r="R144" i="1"/>
  <c r="O144" i="1"/>
  <c r="L144" i="1"/>
  <c r="T143" i="1"/>
  <c r="U143" i="1" s="1"/>
  <c r="R143" i="1"/>
  <c r="O143" i="1"/>
  <c r="L143" i="1"/>
  <c r="U142" i="1"/>
  <c r="T142" i="1"/>
  <c r="R142" i="1"/>
  <c r="O142" i="1"/>
  <c r="L142" i="1"/>
  <c r="U141" i="1"/>
  <c r="T141" i="1"/>
  <c r="R141" i="1"/>
  <c r="O141" i="1"/>
  <c r="L141" i="1"/>
  <c r="T140" i="1"/>
  <c r="U140" i="1" s="1"/>
  <c r="R140" i="1"/>
  <c r="O140" i="1"/>
  <c r="L140" i="1"/>
  <c r="T139" i="1"/>
  <c r="U139" i="1" s="1"/>
  <c r="R139" i="1"/>
  <c r="O139" i="1"/>
  <c r="L139" i="1"/>
  <c r="U138" i="1"/>
  <c r="T138" i="1"/>
  <c r="R138" i="1"/>
  <c r="O138" i="1"/>
  <c r="L138" i="1"/>
  <c r="U137" i="1"/>
  <c r="T137" i="1"/>
  <c r="R137" i="1"/>
  <c r="O137" i="1"/>
  <c r="L137" i="1"/>
  <c r="T136" i="1"/>
  <c r="U136" i="1" s="1"/>
  <c r="R136" i="1"/>
  <c r="O136" i="1"/>
  <c r="L136" i="1"/>
  <c r="T135" i="1"/>
  <c r="U135" i="1" s="1"/>
  <c r="R135" i="1"/>
  <c r="O135" i="1"/>
  <c r="L135" i="1"/>
  <c r="U134" i="1"/>
  <c r="T134" i="1"/>
  <c r="R134" i="1"/>
  <c r="O134" i="1"/>
  <c r="L134" i="1"/>
  <c r="U133" i="1"/>
  <c r="T133" i="1"/>
  <c r="R133" i="1"/>
  <c r="O133" i="1"/>
  <c r="L133" i="1"/>
  <c r="T132" i="1"/>
  <c r="U132" i="1" s="1"/>
  <c r="R132" i="1"/>
  <c r="O132" i="1"/>
  <c r="L132" i="1"/>
  <c r="T131" i="1"/>
  <c r="U131" i="1" s="1"/>
  <c r="R131" i="1"/>
  <c r="O131" i="1"/>
  <c r="L131" i="1"/>
  <c r="R130" i="1"/>
  <c r="N130" i="1"/>
  <c r="O130" i="1" s="1"/>
  <c r="O191" i="1" s="1"/>
  <c r="L130" i="1"/>
  <c r="T129" i="1"/>
  <c r="U129" i="1" s="1"/>
  <c r="R129" i="1"/>
  <c r="O129" i="1"/>
  <c r="L129" i="1"/>
  <c r="T128" i="1"/>
  <c r="U128" i="1" s="1"/>
  <c r="R128" i="1"/>
  <c r="O128" i="1"/>
  <c r="L128" i="1"/>
  <c r="U127" i="1"/>
  <c r="T127" i="1"/>
  <c r="R127" i="1"/>
  <c r="R191" i="1" s="1"/>
  <c r="O127" i="1"/>
  <c r="L127" i="1"/>
  <c r="L191" i="1" s="1"/>
  <c r="T126" i="1"/>
  <c r="L126" i="1"/>
  <c r="T122" i="1"/>
  <c r="R121" i="1"/>
  <c r="K121" i="1"/>
  <c r="T120" i="1"/>
  <c r="K120" i="1"/>
  <c r="O120" i="1" s="1"/>
  <c r="T119" i="1"/>
  <c r="U119" i="1" s="1"/>
  <c r="K119" i="1"/>
  <c r="R119" i="1" s="1"/>
  <c r="T118" i="1"/>
  <c r="U118" i="1" s="1"/>
  <c r="R118" i="1"/>
  <c r="R122" i="1" s="1"/>
  <c r="O118" i="1"/>
  <c r="K118" i="1"/>
  <c r="J118" i="1"/>
  <c r="J119" i="1" s="1"/>
  <c r="U117" i="1"/>
  <c r="T117" i="1"/>
  <c r="R117" i="1"/>
  <c r="O117" i="1"/>
  <c r="L117" i="1"/>
  <c r="K117" i="1"/>
  <c r="J117" i="1"/>
  <c r="T113" i="1"/>
  <c r="U112" i="1"/>
  <c r="T112" i="1"/>
  <c r="R112" i="1"/>
  <c r="O112" i="1"/>
  <c r="L112" i="1"/>
  <c r="I112" i="1"/>
  <c r="T111" i="1"/>
  <c r="U111" i="1" s="1"/>
  <c r="R111" i="1"/>
  <c r="O111" i="1"/>
  <c r="L111" i="1"/>
  <c r="T110" i="1"/>
  <c r="R110" i="1"/>
  <c r="L110" i="1"/>
  <c r="T109" i="1"/>
  <c r="U109" i="1" s="1"/>
  <c r="R109" i="1"/>
  <c r="L109" i="1"/>
  <c r="T108" i="1"/>
  <c r="U108" i="1" s="1"/>
  <c r="R108" i="1"/>
  <c r="L108" i="1"/>
  <c r="T107" i="1"/>
  <c r="U107" i="1" s="1"/>
  <c r="R107" i="1"/>
  <c r="L107" i="1"/>
  <c r="T106" i="1"/>
  <c r="U106" i="1" s="1"/>
  <c r="R106" i="1"/>
  <c r="L106" i="1"/>
  <c r="T105" i="1"/>
  <c r="U105" i="1" s="1"/>
  <c r="R105" i="1"/>
  <c r="L105" i="1"/>
  <c r="T104" i="1"/>
  <c r="U104" i="1" s="1"/>
  <c r="R104" i="1"/>
  <c r="L104" i="1"/>
  <c r="T103" i="1"/>
  <c r="U103" i="1" s="1"/>
  <c r="R103" i="1"/>
  <c r="L103" i="1"/>
  <c r="T102" i="1"/>
  <c r="U102" i="1" s="1"/>
  <c r="R102" i="1"/>
  <c r="L102" i="1"/>
  <c r="T101" i="1"/>
  <c r="U101" i="1" s="1"/>
  <c r="R101" i="1"/>
  <c r="T100" i="1"/>
  <c r="U100" i="1" s="1"/>
  <c r="R100" i="1"/>
  <c r="O100" i="1"/>
  <c r="L100" i="1"/>
  <c r="T99" i="1"/>
  <c r="U99" i="1" s="1"/>
  <c r="R99" i="1"/>
  <c r="L99" i="1"/>
  <c r="T98" i="1"/>
  <c r="U98" i="1" s="1"/>
  <c r="R98" i="1"/>
  <c r="L98" i="1"/>
  <c r="T97" i="1"/>
  <c r="U97" i="1" s="1"/>
  <c r="R97" i="1"/>
  <c r="L97" i="1"/>
  <c r="T96" i="1"/>
  <c r="U96" i="1" s="1"/>
  <c r="R96" i="1"/>
  <c r="L96" i="1"/>
  <c r="T95" i="1"/>
  <c r="U95" i="1" s="1"/>
  <c r="R95" i="1"/>
  <c r="L95" i="1"/>
  <c r="T94" i="1"/>
  <c r="U94" i="1" s="1"/>
  <c r="R94" i="1"/>
  <c r="L94" i="1"/>
  <c r="T93" i="1"/>
  <c r="U93" i="1" s="1"/>
  <c r="R93" i="1"/>
  <c r="L93" i="1"/>
  <c r="T92" i="1"/>
  <c r="U92" i="1" s="1"/>
  <c r="R92" i="1"/>
  <c r="L92" i="1"/>
  <c r="T91" i="1"/>
  <c r="U91" i="1" s="1"/>
  <c r="R91" i="1"/>
  <c r="L91" i="1"/>
  <c r="T90" i="1"/>
  <c r="U90" i="1" s="1"/>
  <c r="R90" i="1"/>
  <c r="L90" i="1"/>
  <c r="T89" i="1"/>
  <c r="U89" i="1" s="1"/>
  <c r="R89" i="1"/>
  <c r="L89" i="1"/>
  <c r="T88" i="1"/>
  <c r="U88" i="1" s="1"/>
  <c r="R88" i="1"/>
  <c r="L88" i="1"/>
  <c r="T87" i="1"/>
  <c r="U87" i="1" s="1"/>
  <c r="R87" i="1"/>
  <c r="L87" i="1"/>
  <c r="T86" i="1"/>
  <c r="U86" i="1" s="1"/>
  <c r="R86" i="1"/>
  <c r="L86" i="1"/>
  <c r="T85" i="1"/>
  <c r="U85" i="1" s="1"/>
  <c r="R85" i="1"/>
  <c r="L85" i="1"/>
  <c r="T84" i="1"/>
  <c r="U84" i="1" s="1"/>
  <c r="R84" i="1"/>
  <c r="L84" i="1"/>
  <c r="U83" i="1"/>
  <c r="R83" i="1"/>
  <c r="U82" i="1"/>
  <c r="R82" i="1"/>
  <c r="L82" i="1"/>
  <c r="U81" i="1"/>
  <c r="R81" i="1"/>
  <c r="L81" i="1"/>
  <c r="T80" i="1"/>
  <c r="U80" i="1" s="1"/>
  <c r="R80" i="1"/>
  <c r="O80" i="1"/>
  <c r="L80" i="1"/>
  <c r="U79" i="1"/>
  <c r="T79" i="1"/>
  <c r="R79" i="1"/>
  <c r="O79" i="1"/>
  <c r="L79" i="1"/>
  <c r="U78" i="1"/>
  <c r="T78" i="1"/>
  <c r="R78" i="1"/>
  <c r="L78" i="1"/>
  <c r="T77" i="1"/>
  <c r="U77" i="1" s="1"/>
  <c r="R77" i="1"/>
  <c r="Y77" i="1" s="1"/>
  <c r="L77" i="1"/>
  <c r="Y76" i="1"/>
  <c r="U76" i="1"/>
  <c r="Z76" i="1" s="1"/>
  <c r="T76" i="1"/>
  <c r="R76" i="1"/>
  <c r="L76" i="1"/>
  <c r="T75" i="1"/>
  <c r="U75" i="1" s="1"/>
  <c r="R75" i="1"/>
  <c r="Y75" i="1" s="1"/>
  <c r="O75" i="1"/>
  <c r="L75" i="1"/>
  <c r="T74" i="1"/>
  <c r="U74" i="1" s="1"/>
  <c r="R74" i="1"/>
  <c r="Y74" i="1" s="1"/>
  <c r="L74" i="1"/>
  <c r="U73" i="1"/>
  <c r="T73" i="1"/>
  <c r="R73" i="1"/>
  <c r="L73" i="1"/>
  <c r="U72" i="1"/>
  <c r="T72" i="1"/>
  <c r="R72" i="1"/>
  <c r="Y72" i="1" s="1"/>
  <c r="O72" i="1"/>
  <c r="L72" i="1"/>
  <c r="T71" i="1"/>
  <c r="U71" i="1" s="1"/>
  <c r="R71" i="1"/>
  <c r="Y71" i="1" s="1"/>
  <c r="L71" i="1"/>
  <c r="T70" i="1"/>
  <c r="U70" i="1" s="1"/>
  <c r="R70" i="1"/>
  <c r="O70" i="1"/>
  <c r="L70" i="1"/>
  <c r="C70" i="1"/>
  <c r="B70" i="1"/>
  <c r="Y69" i="1"/>
  <c r="U69" i="1"/>
  <c r="Z69" i="1" s="1"/>
  <c r="T69" i="1"/>
  <c r="R69" i="1"/>
  <c r="O69" i="1"/>
  <c r="O113" i="1" s="1"/>
  <c r="L69" i="1"/>
  <c r="L113" i="1" s="1"/>
  <c r="L365" i="1" s="1"/>
  <c r="C69" i="1"/>
  <c r="Y68" i="1"/>
  <c r="U68" i="1"/>
  <c r="Z68" i="1" s="1"/>
  <c r="T68" i="1"/>
  <c r="R68" i="1"/>
  <c r="L68" i="1"/>
  <c r="U67" i="1"/>
  <c r="T67" i="1"/>
  <c r="R67" i="1"/>
  <c r="L67" i="1"/>
  <c r="U66" i="1"/>
  <c r="T66" i="1"/>
  <c r="R66" i="1"/>
  <c r="L66" i="1"/>
  <c r="U65" i="1"/>
  <c r="U113" i="1" s="1"/>
  <c r="T65" i="1"/>
  <c r="R65" i="1"/>
  <c r="L65" i="1"/>
  <c r="U64" i="1"/>
  <c r="T64" i="1"/>
  <c r="R64" i="1"/>
  <c r="R113" i="1" s="1"/>
  <c r="L64" i="1"/>
  <c r="T60" i="1"/>
  <c r="T59" i="1"/>
  <c r="U59" i="1" s="1"/>
  <c r="O59" i="1"/>
  <c r="L59" i="1"/>
  <c r="K59" i="1"/>
  <c r="T58" i="1"/>
  <c r="L58" i="1"/>
  <c r="K58" i="1"/>
  <c r="O58" i="1" s="1"/>
  <c r="U57" i="1"/>
  <c r="T57" i="1"/>
  <c r="R57" i="1"/>
  <c r="O57" i="1"/>
  <c r="K57" i="1"/>
  <c r="L57" i="1" s="1"/>
  <c r="U56" i="1"/>
  <c r="T56" i="1"/>
  <c r="L56" i="1"/>
  <c r="K56" i="1"/>
  <c r="R56" i="1" s="1"/>
  <c r="T55" i="1"/>
  <c r="U55" i="1" s="1"/>
  <c r="R55" i="1"/>
  <c r="O55" i="1"/>
  <c r="L55" i="1"/>
  <c r="L60" i="1" s="1"/>
  <c r="K55" i="1"/>
  <c r="M30" i="1"/>
  <c r="M13" i="2" l="1"/>
  <c r="M19" i="2" s="1"/>
  <c r="K36" i="2"/>
  <c r="M36" i="2" s="1"/>
  <c r="M25" i="2"/>
  <c r="M31" i="2" s="1"/>
  <c r="J41" i="2"/>
  <c r="R30" i="2" s="1"/>
  <c r="K35" i="2"/>
  <c r="K41" i="2" s="1"/>
  <c r="K53" i="2" s="1"/>
  <c r="K37" i="2"/>
  <c r="M37" i="2" s="1"/>
  <c r="O122" i="1"/>
  <c r="U277" i="1"/>
  <c r="L405" i="1"/>
  <c r="R287" i="1"/>
  <c r="Z71" i="1"/>
  <c r="Z75" i="1"/>
  <c r="Z77" i="1"/>
  <c r="U287" i="1"/>
  <c r="Z72" i="1"/>
  <c r="L119" i="1"/>
  <c r="J120" i="1"/>
  <c r="O365" i="1"/>
  <c r="U383" i="1"/>
  <c r="Y365" i="1"/>
  <c r="R405" i="1"/>
  <c r="U191" i="1"/>
  <c r="Z74" i="1"/>
  <c r="U363" i="1"/>
  <c r="R58" i="1"/>
  <c r="R60" i="1" s="1"/>
  <c r="Y60" i="1" s="1"/>
  <c r="L118" i="1"/>
  <c r="O119" i="1"/>
  <c r="R120" i="1"/>
  <c r="R198" i="1"/>
  <c r="R200" i="1" s="1"/>
  <c r="O282" i="1"/>
  <c r="O287" i="1" s="1"/>
  <c r="R283" i="1"/>
  <c r="T130" i="1"/>
  <c r="U130" i="1" s="1"/>
  <c r="J286" i="1"/>
  <c r="L286" i="1" s="1"/>
  <c r="L287" i="1" s="1"/>
  <c r="U58" i="1"/>
  <c r="U60" i="1" s="1"/>
  <c r="U120" i="1"/>
  <c r="U122" i="1" s="1"/>
  <c r="O56" i="1"/>
  <c r="O60" i="1" s="1"/>
  <c r="O196" i="1"/>
  <c r="O200" i="1" s="1"/>
  <c r="J53" i="2" l="1"/>
  <c r="M35" i="2"/>
  <c r="M41" i="2" s="1"/>
  <c r="M53" i="2" s="1"/>
  <c r="Z60" i="1"/>
  <c r="O366" i="1"/>
  <c r="O367" i="1"/>
  <c r="U365" i="1"/>
  <c r="Z365" i="1" s="1"/>
  <c r="R409" i="1"/>
  <c r="R411" i="1"/>
  <c r="R413" i="1" s="1"/>
  <c r="R407" i="1"/>
  <c r="R415" i="1" s="1"/>
  <c r="J121" i="1"/>
  <c r="L121" i="1" s="1"/>
  <c r="L122" i="1" s="1"/>
  <c r="L366" i="1" s="1"/>
  <c r="L120" i="1"/>
  <c r="R366" i="1"/>
  <c r="O405" i="1"/>
  <c r="L411" i="1"/>
  <c r="L413" i="1" s="1"/>
  <c r="L407" i="1"/>
  <c r="L415" i="1" s="1"/>
  <c r="L409" i="1"/>
  <c r="L417" i="1" l="1"/>
  <c r="L367" i="1"/>
  <c r="O407" i="1"/>
  <c r="U405" i="1"/>
  <c r="O409" i="1"/>
  <c r="O411" i="1"/>
  <c r="O413" i="1" s="1"/>
  <c r="R417" i="1"/>
  <c r="R367" i="1"/>
  <c r="Y367" i="1" s="1"/>
  <c r="O417" i="1"/>
  <c r="U366" i="1"/>
  <c r="U409" i="1" l="1"/>
  <c r="U411" i="1"/>
  <c r="U413" i="1" s="1"/>
  <c r="U407" i="1"/>
  <c r="U415" i="1" s="1"/>
  <c r="U417" i="1"/>
  <c r="R419" i="1"/>
  <c r="L421" i="1"/>
  <c r="L423" i="1" s="1"/>
  <c r="L419" i="1"/>
  <c r="O415" i="1"/>
  <c r="O419" i="1"/>
  <c r="O421" i="1" s="1"/>
  <c r="U367" i="1"/>
  <c r="Z367" i="1" s="1"/>
  <c r="O423" i="1" l="1"/>
  <c r="L425" i="1"/>
  <c r="L431" i="1" s="1"/>
  <c r="U419" i="1"/>
  <c r="R421" i="1"/>
  <c r="O427" i="1" l="1"/>
  <c r="O431" i="1"/>
  <c r="O435" i="1" s="1"/>
  <c r="O433" i="1"/>
  <c r="U421" i="1"/>
  <c r="U423" i="1" s="1"/>
  <c r="R423" i="1"/>
  <c r="R427" i="1" l="1"/>
  <c r="R433" i="1"/>
  <c r="L435" i="1"/>
  <c r="M40" i="1"/>
  <c r="R431" i="1" l="1"/>
  <c r="U427" i="1"/>
  <c r="U431" i="1" l="1"/>
  <c r="R435" i="1"/>
  <c r="U435" i="1" s="1"/>
  <c r="D43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Asus</author>
    <author>USUARIO</author>
  </authors>
  <commentList>
    <comment ref="C69" authorId="0" shapeId="0" xr:uid="{A5802515-8B5D-45CB-90CD-364BD2919DE5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4. No se puede ejecutar el cobro del ítem “ACERO DE REFUERZO” Anexado, hasta cuando sea avalado este valor unitario por FFIE e interventoría, o en su defecto puede ser efectuado si se baja el precio al correspondiente en la tabla de precios tope.</t>
        </r>
      </text>
    </comment>
    <comment ref="N207" authorId="1" shapeId="0" xr:uid="{FEB42A11-89E3-43AB-940B-A47CC9343971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no hay memoria de cantidades revisar acta 1
</t>
        </r>
      </text>
    </comment>
  </commentList>
</comments>
</file>

<file path=xl/sharedStrings.xml><?xml version="1.0" encoding="utf-8"?>
<sst xmlns="http://schemas.openxmlformats.org/spreadsheetml/2006/main" count="1083" uniqueCount="378">
  <si>
    <t> </t>
  </si>
  <si>
    <t>FORMATO</t>
  </si>
  <si>
    <t>Código:</t>
  </si>
  <si>
    <t>FO-SP-00-07</t>
  </si>
  <si>
    <t>ACTA DE OBRA  Y APROBACIÓN DE PAGO</t>
  </si>
  <si>
    <t>Versión:</t>
  </si>
  <si>
    <t>ACTA PARCIAL</t>
  </si>
  <si>
    <t>X</t>
  </si>
  <si>
    <t>No. Acta</t>
  </si>
  <si>
    <t>ACTA FINAL</t>
  </si>
  <si>
    <t>(marque X)</t>
  </si>
  <si>
    <t>CONTRATO DE OBRA  No.</t>
  </si>
  <si>
    <t>1380-1538-2022</t>
  </si>
  <si>
    <r>
      <t xml:space="preserve">PERÍODO DEL ACTA CORRESPONDIENTE A: </t>
    </r>
    <r>
      <rPr>
        <sz val="12"/>
        <color rgb="FFFF0000"/>
        <rFont val="Arial"/>
        <family val="2"/>
      </rPr>
      <t>DESDE  04 DE FEBRERO de 2023 HASTA 03 DE MARZO DE 2023</t>
    </r>
  </si>
  <si>
    <t xml:space="preserve">CONTRATISTA  :         </t>
  </si>
  <si>
    <t>CONSORCIO COLEGIOS 041-2021</t>
  </si>
  <si>
    <t xml:space="preserve">OBJETO: </t>
  </si>
  <si>
    <t>El presente Contrato tiene por objeto el diagnostico y/o actualización y/o complementación y/o elaboración de los diseños y estudios técnicos, y la ejecución de las obras necesarias para la adecuación y mejoramiento de las Instituciones Educativa ubicadas en la Zona Estratégica de Intervención Integral (ZEII) - Zona Futuro Pacífico Catatumbo, priorizadas por el Fondo de Financiamiento de la Infraestructura Educativa – FFIE y en el marco del Acuerdo de Financiación suscrito con Fondo Paz.</t>
  </si>
  <si>
    <t>CC o NIT</t>
  </si>
  <si>
    <t>901,613,074 - 4</t>
  </si>
  <si>
    <t>GRUPO</t>
  </si>
  <si>
    <t>:</t>
  </si>
  <si>
    <t>FP-CAT1</t>
  </si>
  <si>
    <t xml:space="preserve">PLAZO INICIAL                     </t>
  </si>
  <si>
    <t xml:space="preserve">CINCO (5) MESES </t>
  </si>
  <si>
    <t xml:space="preserve">VR. INICIAL                  </t>
  </si>
  <si>
    <t xml:space="preserve">FECHA INICIACION               </t>
  </si>
  <si>
    <t xml:space="preserve">INTERVENTOR  :       </t>
  </si>
  <si>
    <t xml:space="preserve">CONSULTORES DE INGENIERIA UG21 SL </t>
  </si>
  <si>
    <t>ANTICIPO OBRA</t>
  </si>
  <si>
    <t>FECHA TERMINAC.INICIAL</t>
  </si>
  <si>
    <t xml:space="preserve">VR. MOD. No. 1            </t>
  </si>
  <si>
    <t xml:space="preserve">PLAZO ADICIONAL MOD. 1              </t>
  </si>
  <si>
    <t xml:space="preserve">VR. MOD. No. 2            </t>
  </si>
  <si>
    <t xml:space="preserve">PLAZO ADICIONAL MOD. 2       </t>
  </si>
  <si>
    <t>VR. MOD. No. 3</t>
  </si>
  <si>
    <t>PLAZO ADICIONAL MOD. 3</t>
  </si>
  <si>
    <t>VR. MOD. No. 4</t>
  </si>
  <si>
    <t>PLAZO ADICIONAL MOD. 4</t>
  </si>
  <si>
    <t>TIEMPO SUSPENDIDO 1</t>
  </si>
  <si>
    <t xml:space="preserve">30 DIAS </t>
  </si>
  <si>
    <t xml:space="preserve">VR. FINAL                    </t>
  </si>
  <si>
    <t>PERIODO SUSPENDIDO 1</t>
  </si>
  <si>
    <t>DEL 13 DE DIC DE 2022 AL 12 DE ENERO 2023</t>
  </si>
  <si>
    <t>TIEMPO SUSPENDIDO 2</t>
  </si>
  <si>
    <t>32 DIAS</t>
  </si>
  <si>
    <t>PERIODO SUSPENDIDO</t>
  </si>
  <si>
    <t>DEL 27 DEMARZO DE 2023 AL 28 DE ABRIL 2023</t>
  </si>
  <si>
    <t>PRORROGA EN TIEMPO SUSPENDIDO 2</t>
  </si>
  <si>
    <t>30 DIAS</t>
  </si>
  <si>
    <t>DEL 28 DE ABRIL DE 2023 AL 28 DE MAYO 2023</t>
  </si>
  <si>
    <t>VALOR TOTAL PAGAR EN LA PRESENTE ACTA</t>
  </si>
  <si>
    <t xml:space="preserve">PLAZO TOTAL                    </t>
  </si>
  <si>
    <t xml:space="preserve">CINCO  (5) MESES </t>
  </si>
  <si>
    <t>REINICIO</t>
  </si>
  <si>
    <t>12 DE JUNIO DE 2023</t>
  </si>
  <si>
    <t xml:space="preserve">PLAZO FINAL </t>
  </si>
  <si>
    <t>19 DE JUNIO DE 2023</t>
  </si>
  <si>
    <t>VALOR EN LETRAS PRESENTE ACTA: TRESCIENTOS VENTISEIS MILLONES CUARENTA Y SIETE MIL SETECIENTOS VENTICUATRO    PESOS / MCTE</t>
  </si>
  <si>
    <t>CONDICIONES ORIGINALES</t>
  </si>
  <si>
    <t>OBRA EJECUTADA</t>
  </si>
  <si>
    <t xml:space="preserve">SEDE I. E. SANTA RITA </t>
  </si>
  <si>
    <t>PRESENTE ACTA</t>
  </si>
  <si>
    <t>ACUMULADO ANTERIOR</t>
  </si>
  <si>
    <t>ACUMULADO ACTUAL</t>
  </si>
  <si>
    <t>PRE CONSTRUCCION</t>
  </si>
  <si>
    <t>CANTIDAD</t>
  </si>
  <si>
    <t>VALOR</t>
  </si>
  <si>
    <t>VR. EJECUTADO</t>
  </si>
  <si>
    <t>% EJEC.</t>
  </si>
  <si>
    <t>Proyecto Arquitectonico Y Diseños Urbanisticos.</t>
  </si>
  <si>
    <t>M2</t>
  </si>
  <si>
    <t>Proyecto Estructural.</t>
  </si>
  <si>
    <t>Estudios electricos en Baja Tension, incluye iluminacion y Evaluacion de riesgo de descargas atmosfericas</t>
  </si>
  <si>
    <t xml:space="preserve">LEVANTAMIENTO TOPOGRÁFICO  de 0 a 100 </t>
  </si>
  <si>
    <t>Estudios de suelos.</t>
  </si>
  <si>
    <t xml:space="preserve">COSTO ESTUDIOS Y DISEÑOS </t>
  </si>
  <si>
    <t>FASE 2 CONSTRUCCIÓN</t>
  </si>
  <si>
    <t>PRELIMINARES</t>
  </si>
  <si>
    <t>UND</t>
  </si>
  <si>
    <t>CANT</t>
  </si>
  <si>
    <t>VALOR UNIT</t>
  </si>
  <si>
    <t>VALOR PARCIAL</t>
  </si>
  <si>
    <t>1.1.1</t>
  </si>
  <si>
    <t xml:space="preserve">LIMPIEZA, DESCAPOTE, RETIRO SOBR. - MANUAL   H = 0,20 mts </t>
  </si>
  <si>
    <t>Limpieza y descapote, retiro de sobrantes e= 0,20 m</t>
  </si>
  <si>
    <t>1.1.4</t>
  </si>
  <si>
    <t>REPLANTEO Y NIVELACIÓN DE TERRENO NATURAL</t>
  </si>
  <si>
    <t>2.1.6</t>
  </si>
  <si>
    <t xml:space="preserve">EXCAVACION MANUAL EN MATERIAL COMUN (incluye cargue y retiro) </t>
  </si>
  <si>
    <t xml:space="preserve">Excavacion manual </t>
  </si>
  <si>
    <t>M3</t>
  </si>
  <si>
    <t>2.1.14</t>
  </si>
  <si>
    <t>RELLENOS COMPACTOS EN MATERIAL SELECCIONADO PROVENIENTE DE LA EXCAVACIÓN (INC. MANIPULACION, TRASIEGO E INSTALACION)</t>
  </si>
  <si>
    <t>Relleno y compactacion manual con material de excavacion</t>
  </si>
  <si>
    <t>m3</t>
  </si>
  <si>
    <t>CIMENTACION</t>
  </si>
  <si>
    <t>2.3.2</t>
  </si>
  <si>
    <t xml:space="preserve">Acero de Refuerzo </t>
  </si>
  <si>
    <t>KG</t>
  </si>
  <si>
    <t>2.2.7</t>
  </si>
  <si>
    <t>Concreto zapatas 3000 PSI</t>
  </si>
  <si>
    <t>2.2.4</t>
  </si>
  <si>
    <t>CONCRETO CICLOPEO - 60% CONC. 3000 PSI</t>
  </si>
  <si>
    <t>2.2.5</t>
  </si>
  <si>
    <t>CONCRETO DE LIMPIEZA 1500 PSI</t>
  </si>
  <si>
    <t>2.2.6</t>
  </si>
  <si>
    <t>Concreto Viga de cimentacion 3000 PSI</t>
  </si>
  <si>
    <t>4.1.1</t>
  </si>
  <si>
    <t>Concreto Columnas 3000 PSI</t>
  </si>
  <si>
    <t>4.2.1</t>
  </si>
  <si>
    <t>Concreto Viga aerea 3000 PSI (,30*,30)</t>
  </si>
  <si>
    <t>1.4.2</t>
  </si>
  <si>
    <t>RETIRO DE SOBRANTES CARGUE TRANSPORTE Y DISPOSICION FINAL DE ESCOMBROS A SITIO AUTORIZADO</t>
  </si>
  <si>
    <t>MAMPOSTERIA</t>
  </si>
  <si>
    <t>5.2.14</t>
  </si>
  <si>
    <t>MURO EN LADRILLO TOLETE COMÚN E=15 cm</t>
  </si>
  <si>
    <t>9.1.7</t>
  </si>
  <si>
    <t xml:space="preserve">PAÑETE LISO SOBRE MUROS 1:4  </t>
  </si>
  <si>
    <t>18.1.3</t>
  </si>
  <si>
    <t>ESTUCO SOBRE PAÑETE</t>
  </si>
  <si>
    <t>18.4.11</t>
  </si>
  <si>
    <t xml:space="preserve">PINTURA KORAZA PARA FACHADAS </t>
  </si>
  <si>
    <t>5.2.16</t>
  </si>
  <si>
    <t>MUROS LADRILLO TOLETE FINO PERFORADO E=12 cm</t>
  </si>
  <si>
    <t>CUBIERTAS</t>
  </si>
  <si>
    <t>11.2.18</t>
  </si>
  <si>
    <t>SUMINISTRO E INSTALACION DE ESTRUCTURA METALICA PARA CUBIERTAS. NORMA NSR10 TITULO F. PERFILERIA ASTM A572 GR50 Y ASTM A37. SOLDADURA E70XX. INC CERCHAS, CORREAS, TENSORES, ANCLAJES Y ACCESORIOS, LIMPIEZA SSPC-SP3, PINTURA ANTICORROSIVA 3 MILS Y ACABADO ESMALTE ALQUIDICO 3 MILS</t>
  </si>
  <si>
    <t>11.2.22</t>
  </si>
  <si>
    <t>SUMINISTRO E INSTALACION DE CUBIERTA TERMOACUSTICA UPVC BLANCO - BLANCO CON FIBRA DE CARBONO DE 2,5 MM COLOR A DEFINIR</t>
  </si>
  <si>
    <t>18.2.4</t>
  </si>
  <si>
    <t>ESMALTE  S/ LAMINA LINEAL</t>
  </si>
  <si>
    <t>ML</t>
  </si>
  <si>
    <t xml:space="preserve"> INSTALACIONES ELECTRICAS</t>
  </si>
  <si>
    <t>8.4.1</t>
  </si>
  <si>
    <t>TABLERO DE AUTOMÁTICOS DE 12 CIRCUITOS TIPO PESADO CON PUERTA Y CERRADURA DE CIERRE, CERRADURA Y ESPACIO TOTALIZADOR INDUSTRIAL NTQ-412T Y BARRAJE DE TIERRA AISLADA.</t>
  </si>
  <si>
    <t>8.1.2</t>
  </si>
  <si>
    <t>SALIDA + INTERRUPTOR DOBLE LUMINEX O EQUIVALENTE - PVC</t>
  </si>
  <si>
    <t>8.1.18</t>
  </si>
  <si>
    <t>SALIDA PARA LAMPARA FLUORESCENTE - EMT</t>
  </si>
  <si>
    <t>8.1.8</t>
  </si>
  <si>
    <t>SALIDA + TOMACORRIENTE DOBLE MONOFASICA - PVC</t>
  </si>
  <si>
    <t>15.1.2</t>
  </si>
  <si>
    <t>SUMINISTRO E INSTALACIÓN DE LUMINARIA HERMÉTICA 2X18 W SOBREPONER, 100-240 V, IRC 80, FLUJO LUMINOSO 3600, VIDA ÚTIL MAYOR A 30,000 HORAS, 6500 K. INCLUYE CONECTORES DE RESORTE, CINTA , ACCESORIOS DE FIJACIÓN Y SOPORTE. MATERIAL CERTIFICADO, GARANTIZADO E INSTALADO SEGÚN REGLAMENTACIÓN NTC 2050.</t>
  </si>
  <si>
    <t>INSTALACIONES DE A.LL.</t>
  </si>
  <si>
    <t>11.3.5</t>
  </si>
  <si>
    <t>SUMINISTRO E INSTALACION DE CANAL LAMINA GALVANIZADA  Ds = 80 cm - CAL 20. INCLUYE SOPORTES, SOSCOS, REFUERZOS Y GARGOLAS DE REBOSE</t>
  </si>
  <si>
    <t>11.3.1</t>
  </si>
  <si>
    <t>BAJANTE LAMINA GALVANIZADA 12 x 6 - CAL. 20</t>
  </si>
  <si>
    <t>PISOS Y ENCHAPES</t>
  </si>
  <si>
    <t>2.2.10</t>
  </si>
  <si>
    <t>PLACA CONTRAPISO DE 10 cm - CONCRETO 3000 PSI. INCLUYE CORTE Y DILATACION</t>
  </si>
  <si>
    <t>6.1.2</t>
  </si>
  <si>
    <t>SARDINEL TIPO A10 (Suministro e Instalación. Incluye 3 cm Mortero 2000 PSI)  (3HUECOS)</t>
  </si>
  <si>
    <t>10.2.27</t>
  </si>
  <si>
    <t>TABLETA GRES LISO DE 33 x 33 MORTERO 1:4</t>
  </si>
  <si>
    <t>10.2.28</t>
  </si>
  <si>
    <t>LOSA MACIZA ENTREPISO H = 10 cm - CONCRETO 3000 PSI</t>
  </si>
  <si>
    <t>RECUBRIMIENTOS Y PINTURAS Y ACABADOS</t>
  </si>
  <si>
    <t>18.2.3</t>
  </si>
  <si>
    <t>ESMALTE  S/ LAMINA  LLENA</t>
  </si>
  <si>
    <t>CARPINTERIA METALICA</t>
  </si>
  <si>
    <t>12.2.5</t>
  </si>
  <si>
    <t>SUMINISTRO E INSTALACION DE PUERTA METALICA ENTAMBORADA LAMINA C.R. C18 (ANTIC - ESMALTE)</t>
  </si>
  <si>
    <t>12.2.11</t>
  </si>
  <si>
    <t>VENTANAS LAMINA C.R. CAL 18. (ANTIC - ESMALTE)</t>
  </si>
  <si>
    <t>12.2.8</t>
  </si>
  <si>
    <t>REJA BANCARIA (ANTIC - ESMALTE)</t>
  </si>
  <si>
    <t>m2</t>
  </si>
  <si>
    <t>ADECUACION FINAL</t>
  </si>
  <si>
    <t>21.1.1</t>
  </si>
  <si>
    <t>Aseo general</t>
  </si>
  <si>
    <t>TRANSPORTES ADICIONALES</t>
  </si>
  <si>
    <t>26.3</t>
  </si>
  <si>
    <t>TRANSPORTE CAMINO DESTAPADO - TROCHA</t>
  </si>
  <si>
    <t>Ton/Km</t>
  </si>
  <si>
    <t>26.2</t>
  </si>
  <si>
    <t xml:space="preserve">TRANSPORTE A LOMO DE MULA CARGA DE 100 Kg                                       </t>
  </si>
  <si>
    <t>COSTO TOTAL OBRA  SEDE   SANTA RITA</t>
  </si>
  <si>
    <t>SEDE I. E. EL COMIENZO</t>
  </si>
  <si>
    <t>Proyecto estructural</t>
  </si>
  <si>
    <t>CONSTRUCCIÓN</t>
  </si>
  <si>
    <t>DESCRIPCIÓN</t>
  </si>
  <si>
    <t>VLOR UNITARIO</t>
  </si>
  <si>
    <t xml:space="preserve">VALOR PARCIAL </t>
  </si>
  <si>
    <t xml:space="preserve">CANT. </t>
  </si>
  <si>
    <t>VAVOR</t>
  </si>
  <si>
    <t>% EJEC</t>
  </si>
  <si>
    <t>ESTRUCTURA EN CONCRETO</t>
  </si>
  <si>
    <t>CONCRETO PARA ZAPATAS 3000 PSI</t>
  </si>
  <si>
    <t>CONCRETO PARA VIGAS DE CIMENTACIÓN 3000 PSI</t>
  </si>
  <si>
    <t>COLUMNAS EN CONCRETO DE 3000 PSI</t>
  </si>
  <si>
    <t>VIGAS AÉREAS EN CONCRETO DE 3000 PSI</t>
  </si>
  <si>
    <t>4.3.7</t>
  </si>
  <si>
    <t>LOSA MACIZA ENTREPISO H = 12 cm - CONCRETO 3000 PSI</t>
  </si>
  <si>
    <t xml:space="preserve"> M3</t>
  </si>
  <si>
    <t>20.2.17</t>
  </si>
  <si>
    <t>SARDINEL TIPO A10 (Suministro e Instalación. Incluye 3cm Mortero 2000 PSI)  (3HUECOS)</t>
  </si>
  <si>
    <t>6.2.5</t>
  </si>
  <si>
    <t>MESONES EN CONCRETO DE 60 cm</t>
  </si>
  <si>
    <t>2.3.1</t>
  </si>
  <si>
    <t>ACERO DE REFUERZO 37000 PSI</t>
  </si>
  <si>
    <t>Kg</t>
  </si>
  <si>
    <t>ACERO DE REFUERZO 60000 PSI</t>
  </si>
  <si>
    <t>21.1.4</t>
  </si>
  <si>
    <t>CARGUE Y RETIRO DE ESCOMBROS Y/O MATERIAL DE EXCAVACIÓN</t>
  </si>
  <si>
    <t>5.2.1</t>
  </si>
  <si>
    <t>MURO EN LADRILLO TOLETE PRENSADO e = 12CM</t>
  </si>
  <si>
    <t>9.2.4</t>
  </si>
  <si>
    <r>
      <t xml:space="preserve">PAÑETE LISO BAJO PLACAS 1:4 </t>
    </r>
    <r>
      <rPr>
        <sz val="10"/>
        <color rgb="FFFF0000"/>
        <rFont val="Tahoma"/>
        <family val="2"/>
      </rPr>
      <t xml:space="preserve"> </t>
    </r>
  </si>
  <si>
    <t>14.1.6</t>
  </si>
  <si>
    <t>ENCHAPE PARED 25 x 35 - MACEDONIA CORONA Ó EQUIVALENTE</t>
  </si>
  <si>
    <t>PISOS</t>
  </si>
  <si>
    <t>2.3.4</t>
  </si>
  <si>
    <t xml:space="preserve">MALLA ELECTROSOLDADA ESTÁNDAR </t>
  </si>
  <si>
    <t>CUBIERTA</t>
  </si>
  <si>
    <t>INSTALACIONES A.LL.</t>
  </si>
  <si>
    <t>11.3.6</t>
  </si>
  <si>
    <t>SUMINISTRO E INSTALACION DE CANAL LAMINA GALVANIZADA  Ds = 100 cm - CAL 20. INCLUYE SOPORTES, SOSCOS, REFUERZOS Y GARGOLAS DE REBOSE</t>
  </si>
  <si>
    <t>3.2.10</t>
  </si>
  <si>
    <t>PUNTO DESAGUE PVC Ø 3" - Ø 4"</t>
  </si>
  <si>
    <t>INSTALACIONES HIDROSANITARIAS</t>
  </si>
  <si>
    <t>3.2.7</t>
  </si>
  <si>
    <t>TUBERIA PVC SANITARIA DE 4" (incluye atraque en concreto)</t>
  </si>
  <si>
    <t>3.2.5</t>
  </si>
  <si>
    <t>TUBERIA PVC SANITARIA DE 2" (incluye atraque en concreto)</t>
  </si>
  <si>
    <t>3.2.9</t>
  </si>
  <si>
    <t xml:space="preserve">PUNTO DESAGUE PVC Ø 2" </t>
  </si>
  <si>
    <t>7.1.4</t>
  </si>
  <si>
    <t xml:space="preserve">ACOMETIDA PVC-P 1 1/2"  </t>
  </si>
  <si>
    <t>7.6.3</t>
  </si>
  <si>
    <t>PUNTO AGUA FRIA  PVC  1/2"(INC. ACCESORIOS)</t>
  </si>
  <si>
    <t>21.1.13</t>
  </si>
  <si>
    <t xml:space="preserve">SUMINISTRO E INSTALACION LAVAPLATOS </t>
  </si>
  <si>
    <t>UNID</t>
  </si>
  <si>
    <t>3.4.2</t>
  </si>
  <si>
    <t xml:space="preserve">CAJA INSPECCION  60 x 60 x 60 cm (INC. BASE y CAÑUELA Y TAPA CON MARCO METALICO) </t>
  </si>
  <si>
    <t>16.3.4</t>
  </si>
  <si>
    <t xml:space="preserve">SUMINISTRO E INSTALACION DE TANQUE PLASTICO 1000 LTS. INC. VALVULA DE FLOTADOR Y ACCESORIOS </t>
  </si>
  <si>
    <t>27.2.16</t>
  </si>
  <si>
    <t>SUMINISTRO E INSTALACION DE POZO SEPTICO DE 1.650 LTS</t>
  </si>
  <si>
    <t>INSTALACIONES ELECTRICAS</t>
  </si>
  <si>
    <t>8.1.1</t>
  </si>
  <si>
    <t>SALIDA + INTERRUPTOR SENCILLO LUMINEX O EQUIVALENTE - PVC</t>
  </si>
  <si>
    <t>8.3.10</t>
  </si>
  <si>
    <t>TUBERIA EMT 1" - SUSPENDIDA INCLUYE ACCESORIOS Y FIJACIONES</t>
  </si>
  <si>
    <t>8.7.15</t>
  </si>
  <si>
    <t>TIERRA SUBESTACION CAPSULADA CON TRES VARILLAS CW Y DEMAS ACCESORIOS</t>
  </si>
  <si>
    <t>CARPINTERIA METÁLICA</t>
  </si>
  <si>
    <t>12.2.12</t>
  </si>
  <si>
    <t>VENTANA EN LÁMINA C.R. CAL. 20 TIPO PERSIANA PARA VENTILACIÓN (ANTIC - ESMALTE)</t>
  </si>
  <si>
    <t>LIMPIEZA</t>
  </si>
  <si>
    <t xml:space="preserve">ASEO GENERAL DE OBRA </t>
  </si>
  <si>
    <t>KM</t>
  </si>
  <si>
    <t>COSTO TOTAL OBRA  SEDE EL COMIENZO</t>
  </si>
  <si>
    <t>SEDE I. E. LA PITA</t>
  </si>
  <si>
    <t>1.3.4</t>
  </si>
  <si>
    <t>DEMOLICIÓN DE CONSTRUCCIONES EXISTENTES (INC. RETIRO DE SOBR.)</t>
  </si>
  <si>
    <t>4.3.9</t>
  </si>
  <si>
    <t>6.2.1</t>
  </si>
  <si>
    <t xml:space="preserve">SARDINEL H=0.40m, e=0.15m CONCRETO 3000 PSI (Fundido en Sitio, Concreto Premezclado. Inc. Sumin, Formalet. y Const.) </t>
  </si>
  <si>
    <r>
      <t>CARGUE Y RETIRO DE ESCOMBROS Y/O MATERIAL DE EXCAVACIÓN</t>
    </r>
    <r>
      <rPr>
        <sz val="10"/>
        <color rgb="FFFF0000"/>
        <rFont val="Tahoma"/>
        <family val="2"/>
      </rPr>
      <t xml:space="preserve"> </t>
    </r>
  </si>
  <si>
    <t>5.2.7</t>
  </si>
  <si>
    <t>PAÑETE LISO BAJO PLACAS 1:4</t>
  </si>
  <si>
    <t>2.2.9</t>
  </si>
  <si>
    <t>MALLA ELECTROSOLDADA ESTÁNDAR</t>
  </si>
  <si>
    <t xml:space="preserve">TABLETA GRES LISO DE 33 x 33 MORTERO 1:4 </t>
  </si>
  <si>
    <t>2.1.11</t>
  </si>
  <si>
    <t xml:space="preserve">RELLENO EN RECEBO COMUN (Suministro, Extendido, Humedecimiento y Compactación)  </t>
  </si>
  <si>
    <t xml:space="preserve">CUBIERTA METÁLICA </t>
  </si>
  <si>
    <t xml:space="preserve">TUBERIA PVC SANITARIA DE 4" (incluye atraque en concreto) </t>
  </si>
  <si>
    <t>PUNTO DESAGUE PVC Ø 2"</t>
  </si>
  <si>
    <t xml:space="preserve">ACOMETIDA PVC-P 1 1/2"   </t>
  </si>
  <si>
    <t>SUMINISTRO E INSTALACIÓN DE LAVAPLATOS</t>
  </si>
  <si>
    <t>CAJA INSPECCION  60 x 60 x 60 cm (INC. BASE y CAÑUELA Y TAPA CON MARCO METALICO)</t>
  </si>
  <si>
    <t>SUMINISTRO E INSTALACION DE TANQUE PLASTICO 1000 LTS. INC. VALVULA DE FLOTADOR Y ACCESORIOS</t>
  </si>
  <si>
    <t>8.1.6</t>
  </si>
  <si>
    <t>SALIDA PARA LAMPARA FLUORESCENTE - PVC</t>
  </si>
  <si>
    <t>ADECUACIÓN AULAS EXISTENTES</t>
  </si>
  <si>
    <t>1.3.23</t>
  </si>
  <si>
    <t>DESMONTE CUBIERTAS ASBESTO CEMENTO (INC. RETIRO DE SOBR.)</t>
  </si>
  <si>
    <t>21.1.2</t>
  </si>
  <si>
    <t xml:space="preserve">LAVADO Y LIMPIEZA DE FACHADAS EN LADRILLO A LA VISTA. INCLUYE SOLUCIONES DE ACIDO </t>
  </si>
  <si>
    <t>21.1.3</t>
  </si>
  <si>
    <t xml:space="preserve">LAVADO Y LIMPIEZA DE MUROS INTERIORES EN LADRILLO A LA VISTA. INCLUYE SOLUCIONES DE ACIDO </t>
  </si>
  <si>
    <t>12.2.14</t>
  </si>
  <si>
    <t>RECONSTRUCCIÓN DE VENTANAS EN LÁMINA C.R. C18 (ANTIC - ESMALTE)</t>
  </si>
  <si>
    <t>20.2.5</t>
  </si>
  <si>
    <t>CONCRETO ESCOBEADO PARA ANDENES O RAMPAS H = 10 cm - 3000 PSI CERTIFICADO</t>
  </si>
  <si>
    <t>COSTO TOTAL OBRA  SEDE LA PITA</t>
  </si>
  <si>
    <t xml:space="preserve"> </t>
  </si>
  <si>
    <t>SEDE I. E. LA GARITA</t>
  </si>
  <si>
    <t xml:space="preserve">PAÑETE LISO BAJO PLACAS 1:4 </t>
  </si>
  <si>
    <t>SUMINISTRO E INSTALACIÓN DE LAVAPLATOS EN ACERO</t>
  </si>
  <si>
    <t xml:space="preserve">SUMINISTRO E INSTALACION DE POZO SEPTICO DE 1.650 LTS </t>
  </si>
  <si>
    <t>16.1.20</t>
  </si>
  <si>
    <t>LAVAMANOS NOVA 734 + GRIF. 47110 (SUM E INSTALACION)</t>
  </si>
  <si>
    <t>16.1.42</t>
  </si>
  <si>
    <t>SANITARIO ACUACER BLANCO CORONA (SUM E INSTALACION)</t>
  </si>
  <si>
    <t>TON/KM</t>
  </si>
  <si>
    <t>COSTO TOTAL OBRA  SEDE LA GARITA</t>
  </si>
  <si>
    <t>COSTO TOTAL OBRAS</t>
  </si>
  <si>
    <t>COSTO ESTUDIOS Y DISEÑOS</t>
  </si>
  <si>
    <t xml:space="preserve">COSTO TOTAL DEL CONTRATO </t>
  </si>
  <si>
    <t>OBRAS NO PREVISTAS</t>
  </si>
  <si>
    <t>OBRAS NO PREVISTAS EJECUTADA</t>
  </si>
  <si>
    <t>ITEM</t>
  </si>
  <si>
    <t>DESCRIPCION</t>
  </si>
  <si>
    <t>UN</t>
  </si>
  <si>
    <t>PRECIO</t>
  </si>
  <si>
    <t xml:space="preserve">MAYORES CANTIDADES </t>
  </si>
  <si>
    <t>OBRAS MAYORES CANTIDADES EJECUTADA</t>
  </si>
  <si>
    <t>NOTA: LOS  PRECIOS UNITARIOS DE LOS ÍTEMS DE OBRA RELACIONADOS EN ESTAS ACTA, INCLUYEN EL AIU Y LOS PRECIOS DE ACTIVIDADES DE DISEÑO INCLUYEN EL IVA</t>
  </si>
  <si>
    <t>VALOR  COSTO DIRECTO OBRA</t>
  </si>
  <si>
    <t>ADMINISTRACION</t>
  </si>
  <si>
    <t>(</t>
  </si>
  <si>
    <t xml:space="preserve">  )</t>
  </si>
  <si>
    <t>IMPREVISTOS.</t>
  </si>
  <si>
    <t>UTILIDAD.</t>
  </si>
  <si>
    <t>IVA SOBRE UTILIDAD</t>
  </si>
  <si>
    <t>VALOR TOTAL  OBRA</t>
  </si>
  <si>
    <t>VALOR  COSTO DIRECTO ESTUDIOS Y DISEÑOS</t>
  </si>
  <si>
    <t xml:space="preserve">I.        V.          A.                                                (  </t>
  </si>
  <si>
    <t>VALOR TOTAL  ESTUDIOS Y DISEÑOS</t>
  </si>
  <si>
    <t>VALOR TOTAL  ESTUDIOS , DISEÑOS  Y OBRA</t>
  </si>
  <si>
    <t xml:space="preserve">VALOR AJUSTE AL PESO </t>
  </si>
  <si>
    <t>VALOR TOTAL  ESTUDIOS , DISEÑOS  Y OBRA AJUSTADA AL PESO</t>
  </si>
  <si>
    <t>AMORTIZACION DEL ANTICIPO                       (</t>
  </si>
  <si>
    <t>VALOR TOTAL ACTA</t>
  </si>
  <si>
    <t>PORCENTAJE EJECUTADO PRESENTE ACTA</t>
  </si>
  <si>
    <t>VALOR A PAGAR AJUSTADO AL PESO</t>
  </si>
  <si>
    <t>SALDO DEL CONTRATO</t>
  </si>
  <si>
    <t>SALDO POR AMORTIZAR</t>
  </si>
  <si>
    <t xml:space="preserve">CONSORCIO COLEGIOS 041 - 2021 </t>
  </si>
  <si>
    <t>CONSULTORES DE INGENIERIA UG21</t>
  </si>
  <si>
    <t xml:space="preserve">JORGE ENRIQUE PINTO RIAÑO </t>
  </si>
  <si>
    <t>R/L Suplente: GINNA LIZETH MONCADA MORENO</t>
  </si>
  <si>
    <t xml:space="preserve">CONTRATISTA </t>
  </si>
  <si>
    <t xml:space="preserve">INTERVENTORIA </t>
  </si>
  <si>
    <t>ANEXO 1 AL ACTA DE OBRA RESUMEN POR MODALIDAD DE INTERVENCION, INSTITUCION EDUCATIVA Y LEGALIZACIÓN ANTICIPO</t>
  </si>
  <si>
    <t>LLAVE MEN   (# postulación)</t>
  </si>
  <si>
    <t>No. DDP</t>
  </si>
  <si>
    <t>INSTITUCIÓN EDUCATIVA</t>
  </si>
  <si>
    <t>SEDE</t>
  </si>
  <si>
    <t>MUNICIPIO</t>
  </si>
  <si>
    <t>FPAZ-09</t>
  </si>
  <si>
    <t xml:space="preserve">INSTUTUCION EDUCATIVA SAN GIL </t>
  </si>
  <si>
    <t xml:space="preserve">EL COMIENZO </t>
  </si>
  <si>
    <t xml:space="preserve">SARDINATA </t>
  </si>
  <si>
    <t>FPAZ-10</t>
  </si>
  <si>
    <t xml:space="preserve">INSTITUCION EDUCATIVA EL RECREO </t>
  </si>
  <si>
    <t xml:space="preserve">LA GARITA </t>
  </si>
  <si>
    <t>FPAZ-11</t>
  </si>
  <si>
    <t xml:space="preserve">LA PITA </t>
  </si>
  <si>
    <t>FPAZ-08</t>
  </si>
  <si>
    <t xml:space="preserve">NUESTRA SEÑORA DEL CARMEN </t>
  </si>
  <si>
    <t xml:space="preserve">SANTA RITA </t>
  </si>
  <si>
    <t>18232020004 -  ESTUDIOS Y DISEÑOS TÉCNICOS MEJORAMIENTO</t>
  </si>
  <si>
    <t>No.</t>
  </si>
  <si>
    <t>NOMBRE INSTITUCIÓN</t>
  </si>
  <si>
    <t>VALOR FACTURADO</t>
  </si>
  <si>
    <t>TOTAL A PAGAR</t>
  </si>
  <si>
    <t>Llave MEN FPAZ-09 - INSTUTUCION EDUCATIVA SAN GIL  EL COMIENZO  - DDP No. 3675</t>
  </si>
  <si>
    <t>Llave MEN FPAZ-10 - INSTITUCION EDUCATIVA EL RECREO  LA GARITA  - DDP No. 3676</t>
  </si>
  <si>
    <t>Llave MEN FPAZ-11 - INSTITUCION EDUCATIVA EL RECREO  LA PITA  - DDP No. 3677</t>
  </si>
  <si>
    <t>Llave MEN FPAZ-08 - NUESTRA SEÑORA DEL CARMEN  SANTA RITA  - DDP No. 3674</t>
  </si>
  <si>
    <t>TOTALES</t>
  </si>
  <si>
    <t>18231501035 - MEJORAMIENTO</t>
  </si>
  <si>
    <t>AMORTIZACION ANTICIPO</t>
  </si>
  <si>
    <t>18231501033 - MEJORAMIENTO COMEDOR - COCINA</t>
  </si>
  <si>
    <t>18231501034 - MEJORAMIENTO RESIDENCIA ESCOLAR</t>
  </si>
  <si>
    <t>TOTAL FACTURADO Y AMORTIZADO PRESENTE ACTA</t>
  </si>
  <si>
    <t>TIPO DE PAGO</t>
  </si>
  <si>
    <t>B-OBRA - AVANCE F2 90%</t>
  </si>
  <si>
    <t>&lt;&lt; ==  Debe seleccionar el tipo de pago</t>
  </si>
  <si>
    <t>JORGE ENRIQUE PINTO R</t>
  </si>
  <si>
    <t>CONSORCIO COLEGIOS ,041-2021</t>
  </si>
  <si>
    <t>CONSULTORES DE INGENIERIA UG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</si>
</sst>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164" formatCode="_-&quot;$&quot;\ * #,##0.00_-;\-&quot;$&quot;\ * #,##0.00_-;_-&quot;$&quot;\ * &quot;-&quot;??_-;_-@_-"/>
    <numFmt numFmtId="165" formatCode="0_)"/>
    <numFmt numFmtId="166" formatCode="_-&quot;$&quot;* #,##0_-;\-&quot;$&quot;* #,##0_-;_-&quot;$&quot;* &quot;-&quot;_-;_-@_-"/>
    <numFmt numFmtId="167" formatCode="_(&quot;$&quot;* #,##0.00_);_(&quot;$&quot;* \(#,##0.00\);_(&quot;$&quot;* &quot;-&quot;??_);_(@_)"/>
    <numFmt numFmtId="168" formatCode="&quot;$&quot;* #,##0.00;&quot;$&quot;* #,##0.00;_(@_)"/>
    <numFmt numFmtId="169" formatCode="[$-240A]d&quot; de &quot;mmmm&quot; de &quot;yyyy;@"/>
    <numFmt numFmtId="170" formatCode="[$-C0A]dd\-mmm\-yy;@"/>
    <numFmt numFmtId="171" formatCode="dd\-mm\-yy;@"/>
    <numFmt numFmtId="172" formatCode="&quot;$&quot;\ #,##0.00"/>
    <numFmt numFmtId="173" formatCode="_-&quot;$&quot;* #,##0.00_-;\-&quot;$&quot;* #,##0.00_-;_-&quot;$&quot;* &quot;-&quot;_-;_-@_-"/>
    <numFmt numFmtId="174" formatCode="0.0%"/>
    <numFmt numFmtId="175" formatCode="_(* #,##0.00_);_(* \(#,##0.00\);_(* &quot;-&quot;??_);_(@_)"/>
    <numFmt numFmtId="176" formatCode="0.00_ ;\-0.00\ "/>
    <numFmt numFmtId="177" formatCode="0.0"/>
    <numFmt numFmtId="178" formatCode="_(* #,##0.000_);_(* \(#,##0.000\);_(* &quot;-&quot;??_);_(@_)"/>
    <numFmt numFmtId="179" formatCode="#,##0.0"/>
    <numFmt numFmtId="180" formatCode="#,##0.000"/>
    <numFmt numFmtId="181" formatCode="#,##0.00000000"/>
    <numFmt numFmtId="182" formatCode="#,##0.000000000000"/>
    <numFmt numFmtId="183" formatCode="#,##0.0000"/>
    <numFmt numFmtId="184" formatCode="&quot;$&quot;* #,##0.00;\-&quot;$&quot;* #,##0.00;_(@_)"/>
    <numFmt numFmtId="185" formatCode="&quot;$&quot;\ \ \ #,##0.00;&quot;$&quot;* #,##0.00;_(@_)"/>
    <numFmt numFmtId="186" formatCode="_-&quot;$&quot;* #,##0.00_-;\-&quot;$&quot;* #,##0.00_-;_-&quot;$&quot;* &quot;-&quot;??_-;_-@_-"/>
  </numFmts>
  <fonts count="67"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16"/>
      <color theme="1"/>
      <name val="Arial"/>
      <family val="2"/>
    </font>
    <font>
      <sz val="16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sz val="10"/>
      <color theme="1"/>
      <name val="Courier"/>
      <family val="3"/>
    </font>
    <font>
      <b/>
      <sz val="18"/>
      <name val="Arial"/>
      <family val="2"/>
    </font>
    <font>
      <sz val="18"/>
      <name val="Arial"/>
      <family val="2"/>
    </font>
    <font>
      <b/>
      <sz val="18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name val="Courier"/>
      <family val="3"/>
    </font>
    <font>
      <sz val="13"/>
      <name val="Courier"/>
      <family val="3"/>
    </font>
    <font>
      <i/>
      <sz val="14"/>
      <color theme="1"/>
      <name val="Arial"/>
      <family val="2"/>
    </font>
    <font>
      <b/>
      <sz val="13"/>
      <name val="Arial"/>
      <family val="2"/>
    </font>
    <font>
      <sz val="12"/>
      <color theme="1"/>
      <name val="Tahoma"/>
      <family val="2"/>
    </font>
    <font>
      <sz val="14"/>
      <color theme="1"/>
      <name val="Courier"/>
      <family val="3"/>
    </font>
    <font>
      <sz val="12"/>
      <name val="Tahoma"/>
      <family val="2"/>
    </font>
    <font>
      <sz val="12"/>
      <color rgb="FFFF0000"/>
      <name val="Tahoma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color theme="1"/>
      <name val="Arial"/>
      <family val="2"/>
    </font>
    <font>
      <u/>
      <sz val="10"/>
      <name val="Arial"/>
      <family val="2"/>
    </font>
    <font>
      <b/>
      <u/>
      <sz val="10"/>
      <color theme="1"/>
      <name val="Arial"/>
      <family val="2"/>
    </font>
    <font>
      <b/>
      <sz val="15"/>
      <name val="Tahoma"/>
      <family val="2"/>
    </font>
    <font>
      <b/>
      <sz val="10"/>
      <name val="Tahoma"/>
      <family val="2"/>
    </font>
    <font>
      <b/>
      <sz val="10"/>
      <color theme="1"/>
      <name val="Arial"/>
      <family val="2"/>
    </font>
    <font>
      <sz val="10"/>
      <name val="Tahoma"/>
      <family val="2"/>
    </font>
    <font>
      <sz val="10"/>
      <color indexed="8"/>
      <name val="MS Sans Serif"/>
      <family val="2"/>
    </font>
    <font>
      <sz val="10"/>
      <color theme="1"/>
      <name val="Tahoma"/>
      <family val="2"/>
    </font>
    <font>
      <b/>
      <sz val="12"/>
      <name val="Tahoma"/>
      <family val="2"/>
    </font>
    <font>
      <sz val="11"/>
      <color theme="1"/>
      <name val="Tahoma"/>
      <family val="2"/>
    </font>
    <font>
      <sz val="11"/>
      <color theme="1"/>
      <name val="Arial"/>
      <family val="2"/>
    </font>
    <font>
      <sz val="11"/>
      <name val="Tahoma"/>
      <family val="2"/>
    </font>
    <font>
      <sz val="15"/>
      <name val="Courier"/>
      <family val="3"/>
    </font>
    <font>
      <b/>
      <sz val="11"/>
      <color theme="1"/>
      <name val="Tahoma"/>
      <family val="2"/>
    </font>
    <font>
      <sz val="9"/>
      <name val="Tahoma"/>
      <family val="2"/>
    </font>
    <font>
      <b/>
      <sz val="11"/>
      <color theme="1"/>
      <name val="Arial"/>
      <family val="2"/>
    </font>
    <font>
      <b/>
      <sz val="11"/>
      <name val="Tahoma"/>
      <family val="2"/>
    </font>
    <font>
      <b/>
      <sz val="9"/>
      <name val="Tahoma"/>
      <family val="2"/>
    </font>
    <font>
      <sz val="9"/>
      <color theme="1"/>
      <name val="Tahoma"/>
      <family val="2"/>
    </font>
    <font>
      <sz val="10"/>
      <color theme="1"/>
      <name val="Verdana"/>
      <family val="2"/>
    </font>
    <font>
      <b/>
      <sz val="9"/>
      <color theme="1"/>
      <name val="Tahoma"/>
      <family val="2"/>
    </font>
    <font>
      <sz val="10"/>
      <color rgb="FFFF0000"/>
      <name val="Tahoma"/>
      <family val="2"/>
    </font>
    <font>
      <sz val="9"/>
      <color rgb="FFFF0000"/>
      <name val="Tahoma"/>
      <family val="2"/>
    </font>
    <font>
      <sz val="12"/>
      <name val="Courier"/>
      <family val="3"/>
    </font>
    <font>
      <sz val="10"/>
      <color theme="0"/>
      <name val="Arial"/>
      <family val="2"/>
    </font>
    <font>
      <u/>
      <sz val="10"/>
      <color theme="1"/>
      <name val="Courier"/>
      <family val="3"/>
    </font>
    <font>
      <b/>
      <u/>
      <sz val="10"/>
      <color theme="1"/>
      <name val="Courier"/>
      <family val="3"/>
    </font>
    <font>
      <b/>
      <sz val="10"/>
      <color theme="0"/>
      <name val="Arial"/>
      <family val="2"/>
    </font>
    <font>
      <b/>
      <sz val="9"/>
      <name val="Courier"/>
    </font>
    <font>
      <b/>
      <sz val="10"/>
      <name val="Courier"/>
      <family val="3"/>
    </font>
    <font>
      <b/>
      <sz val="9"/>
      <name val="Courier"/>
      <family val="3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Courier"/>
    </font>
    <font>
      <sz val="9"/>
      <color theme="1"/>
      <name val="Courier"/>
    </font>
  </fonts>
  <fills count="1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75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6" fillId="0" borderId="0"/>
    <xf numFmtId="0" fontId="1" fillId="0" borderId="0"/>
    <xf numFmtId="0" fontId="38" fillId="0" borderId="0"/>
    <xf numFmtId="49" fontId="51" fillId="0" borderId="0" applyFill="0" applyBorder="0" applyProtection="0">
      <alignment horizontal="left" vertical="center"/>
    </xf>
  </cellStyleXfs>
  <cellXfs count="1063">
    <xf numFmtId="0" fontId="0" fillId="0" borderId="0" xfId="0"/>
    <xf numFmtId="0" fontId="4" fillId="0" borderId="7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4" fontId="6" fillId="0" borderId="8" xfId="0" applyNumberFormat="1" applyFont="1" applyBorder="1"/>
    <xf numFmtId="3" fontId="6" fillId="0" borderId="0" xfId="0" applyNumberFormat="1" applyFont="1"/>
    <xf numFmtId="0" fontId="4" fillId="0" borderId="12" xfId="0" applyFont="1" applyBorder="1" applyAlignment="1">
      <alignment vertical="center"/>
    </xf>
    <xf numFmtId="3" fontId="7" fillId="0" borderId="16" xfId="6" applyNumberFormat="1" applyFont="1" applyBorder="1" applyAlignment="1">
      <alignment vertical="center"/>
    </xf>
    <xf numFmtId="0" fontId="0" fillId="0" borderId="1" xfId="0" applyBorder="1"/>
    <xf numFmtId="0" fontId="0" fillId="0" borderId="2" xfId="0" applyBorder="1"/>
    <xf numFmtId="3" fontId="6" fillId="0" borderId="2" xfId="0" applyNumberFormat="1" applyFont="1" applyBorder="1"/>
    <xf numFmtId="3" fontId="8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166" fontId="6" fillId="0" borderId="2" xfId="4" applyFont="1" applyBorder="1" applyProtection="1"/>
    <xf numFmtId="4" fontId="6" fillId="0" borderId="2" xfId="0" applyNumberFormat="1" applyFont="1" applyBorder="1"/>
    <xf numFmtId="3" fontId="8" fillId="0" borderId="2" xfId="0" applyNumberFormat="1" applyFont="1" applyBorder="1"/>
    <xf numFmtId="3" fontId="6" fillId="0" borderId="2" xfId="0" applyNumberFormat="1" applyFont="1" applyBorder="1" applyAlignment="1">
      <alignment horizontal="center"/>
    </xf>
    <xf numFmtId="3" fontId="6" fillId="0" borderId="8" xfId="0" applyNumberFormat="1" applyFont="1" applyBorder="1" applyAlignment="1">
      <alignment horizontal="center"/>
    </xf>
    <xf numFmtId="3" fontId="7" fillId="0" borderId="16" xfId="6" applyNumberFormat="1" applyFont="1" applyBorder="1" applyAlignment="1">
      <alignment horizontal="center" vertical="center"/>
    </xf>
    <xf numFmtId="4" fontId="6" fillId="0" borderId="16" xfId="0" applyNumberFormat="1" applyFont="1" applyBorder="1"/>
    <xf numFmtId="3" fontId="2" fillId="0" borderId="9" xfId="6" applyNumberFormat="1" applyFont="1" applyBorder="1" applyAlignment="1">
      <alignment horizontal="center"/>
    </xf>
    <xf numFmtId="3" fontId="2" fillId="0" borderId="0" xfId="6" applyNumberFormat="1" applyFont="1" applyAlignment="1">
      <alignment horizontal="center"/>
    </xf>
    <xf numFmtId="3" fontId="4" fillId="0" borderId="0" xfId="6" applyNumberFormat="1" applyFont="1" applyAlignment="1">
      <alignment horizontal="center"/>
    </xf>
    <xf numFmtId="3" fontId="2" fillId="0" borderId="16" xfId="6" applyNumberFormat="1" applyFont="1" applyBorder="1" applyAlignment="1">
      <alignment horizontal="center"/>
    </xf>
    <xf numFmtId="3" fontId="9" fillId="0" borderId="0" xfId="6" applyNumberFormat="1" applyFont="1" applyAlignment="1">
      <alignment horizontal="left" vertical="center"/>
    </xf>
    <xf numFmtId="3" fontId="6" fillId="0" borderId="0" xfId="0" applyNumberFormat="1" applyFont="1" applyAlignment="1">
      <alignment horizontal="left" vertical="center"/>
    </xf>
    <xf numFmtId="3" fontId="10" fillId="2" borderId="17" xfId="6" applyNumberFormat="1" applyFont="1" applyFill="1" applyBorder="1" applyAlignment="1" applyProtection="1">
      <alignment horizontal="center" vertical="center"/>
      <protection locked="0"/>
    </xf>
    <xf numFmtId="3" fontId="11" fillId="0" borderId="0" xfId="6" applyNumberFormat="1" applyFont="1" applyAlignment="1">
      <alignment horizontal="left" vertical="center"/>
    </xf>
    <xf numFmtId="3" fontId="6" fillId="2" borderId="17" xfId="0" applyNumberFormat="1" applyFont="1" applyFill="1" applyBorder="1" applyAlignment="1" applyProtection="1">
      <alignment horizontal="left" vertical="center"/>
      <protection locked="0"/>
    </xf>
    <xf numFmtId="3" fontId="12" fillId="0" borderId="0" xfId="6" applyNumberFormat="1" applyFont="1" applyAlignment="1">
      <alignment horizontal="center" vertical="top"/>
    </xf>
    <xf numFmtId="0" fontId="0" fillId="0" borderId="9" xfId="0" applyBorder="1"/>
    <xf numFmtId="0" fontId="13" fillId="0" borderId="0" xfId="0" applyFont="1"/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/>
    <xf numFmtId="3" fontId="14" fillId="0" borderId="9" xfId="6" applyNumberFormat="1" applyFont="1" applyBorder="1"/>
    <xf numFmtId="3" fontId="14" fillId="0" borderId="0" xfId="6" applyNumberFormat="1" applyFont="1" applyAlignment="1">
      <alignment horizontal="left"/>
    </xf>
    <xf numFmtId="49" fontId="14" fillId="0" borderId="0" xfId="6" applyNumberFormat="1" applyFont="1" applyAlignment="1">
      <alignment horizontal="left"/>
    </xf>
    <xf numFmtId="3" fontId="14" fillId="0" borderId="0" xfId="6" applyNumberFormat="1" applyFont="1"/>
    <xf numFmtId="1" fontId="18" fillId="0" borderId="0" xfId="4" applyNumberFormat="1" applyFont="1" applyBorder="1" applyAlignment="1" applyProtection="1">
      <alignment horizontal="centerContinuous"/>
    </xf>
    <xf numFmtId="3" fontId="16" fillId="0" borderId="0" xfId="6" applyNumberFormat="1" applyFont="1" applyAlignment="1">
      <alignment horizontal="center"/>
    </xf>
    <xf numFmtId="3" fontId="16" fillId="0" borderId="16" xfId="6" applyNumberFormat="1" applyFont="1" applyBorder="1" applyAlignment="1">
      <alignment horizontal="center"/>
    </xf>
    <xf numFmtId="3" fontId="14" fillId="0" borderId="0" xfId="6" applyNumberFormat="1" applyFont="1" applyAlignment="1">
      <alignment horizontal="center"/>
    </xf>
    <xf numFmtId="3" fontId="19" fillId="0" borderId="0" xfId="6" applyNumberFormat="1" applyFont="1" applyAlignment="1">
      <alignment horizontal="center"/>
    </xf>
    <xf numFmtId="4" fontId="16" fillId="0" borderId="0" xfId="6" applyNumberFormat="1" applyFont="1" applyAlignment="1">
      <alignment horizontal="right"/>
    </xf>
    <xf numFmtId="166" fontId="16" fillId="0" borderId="0" xfId="4" applyFont="1" applyBorder="1" applyAlignment="1" applyProtection="1">
      <alignment horizontal="center"/>
    </xf>
    <xf numFmtId="4" fontId="14" fillId="0" borderId="0" xfId="6" applyNumberFormat="1" applyFont="1" applyAlignment="1">
      <alignment horizontal="center"/>
    </xf>
    <xf numFmtId="166" fontId="14" fillId="0" borderId="0" xfId="4" applyFont="1" applyBorder="1" applyAlignment="1" applyProtection="1">
      <alignment horizontal="center"/>
    </xf>
    <xf numFmtId="3" fontId="20" fillId="0" borderId="0" xfId="6" applyNumberFormat="1" applyFont="1" applyAlignment="1">
      <alignment horizontal="center"/>
    </xf>
    <xf numFmtId="3" fontId="14" fillId="0" borderId="16" xfId="6" applyNumberFormat="1" applyFont="1" applyBorder="1" applyAlignment="1">
      <alignment horizontal="center"/>
    </xf>
    <xf numFmtId="4" fontId="21" fillId="0" borderId="16" xfId="0" applyNumberFormat="1" applyFont="1" applyBorder="1"/>
    <xf numFmtId="3" fontId="21" fillId="0" borderId="0" xfId="0" applyNumberFormat="1" applyFont="1"/>
    <xf numFmtId="3" fontId="16" fillId="0" borderId="9" xfId="6" applyNumberFormat="1" applyFont="1" applyBorder="1"/>
    <xf numFmtId="3" fontId="16" fillId="0" borderId="0" xfId="6" applyNumberFormat="1" applyFont="1" applyAlignment="1">
      <alignment horizontal="centerContinuous"/>
    </xf>
    <xf numFmtId="166" fontId="16" fillId="0" borderId="0" xfId="4" applyFont="1" applyBorder="1" applyAlignment="1" applyProtection="1">
      <alignment horizontal="centerContinuous"/>
    </xf>
    <xf numFmtId="4" fontId="16" fillId="0" borderId="0" xfId="6" applyNumberFormat="1" applyFont="1" applyAlignment="1">
      <alignment horizontal="centerContinuous"/>
    </xf>
    <xf numFmtId="3" fontId="19" fillId="0" borderId="0" xfId="6" applyNumberFormat="1" applyFont="1" applyAlignment="1">
      <alignment horizontal="centerContinuous"/>
    </xf>
    <xf numFmtId="4" fontId="22" fillId="0" borderId="16" xfId="0" applyNumberFormat="1" applyFont="1" applyBorder="1"/>
    <xf numFmtId="3" fontId="22" fillId="0" borderId="0" xfId="0" applyNumberFormat="1" applyFont="1"/>
    <xf numFmtId="3" fontId="14" fillId="0" borderId="9" xfId="6" applyNumberFormat="1" applyFont="1" applyBorder="1" applyAlignment="1">
      <alignment vertical="center"/>
    </xf>
    <xf numFmtId="3" fontId="14" fillId="0" borderId="0" xfId="6" applyNumberFormat="1" applyFont="1" applyAlignment="1">
      <alignment horizontal="left" vertical="center"/>
    </xf>
    <xf numFmtId="3" fontId="16" fillId="0" borderId="9" xfId="6" applyNumberFormat="1" applyFont="1" applyBorder="1" applyAlignment="1">
      <alignment vertical="center"/>
    </xf>
    <xf numFmtId="3" fontId="16" fillId="0" borderId="0" xfId="6" applyNumberFormat="1" applyFont="1" applyAlignment="1">
      <alignment horizontal="center" vertical="center"/>
    </xf>
    <xf numFmtId="4" fontId="16" fillId="0" borderId="0" xfId="0" applyNumberFormat="1" applyFont="1" applyAlignment="1">
      <alignment horizontal="right" vertical="center"/>
    </xf>
    <xf numFmtId="166" fontId="16" fillId="0" borderId="0" xfId="4" applyFont="1" applyBorder="1" applyProtection="1"/>
    <xf numFmtId="3" fontId="24" fillId="0" borderId="9" xfId="6" applyNumberFormat="1" applyFont="1" applyBorder="1" applyAlignment="1">
      <alignment horizontal="center" vertical="center"/>
    </xf>
    <xf numFmtId="166" fontId="16" fillId="0" borderId="0" xfId="4" applyFont="1" applyBorder="1" applyAlignment="1" applyProtection="1">
      <alignment horizontal="center" vertical="center"/>
    </xf>
    <xf numFmtId="3" fontId="16" fillId="0" borderId="0" xfId="0" applyNumberFormat="1" applyFont="1" applyAlignment="1">
      <alignment vertical="center"/>
    </xf>
    <xf numFmtId="166" fontId="16" fillId="0" borderId="0" xfId="4" applyFont="1" applyFill="1" applyBorder="1" applyAlignment="1" applyProtection="1">
      <alignment horizontal="centerContinuous"/>
    </xf>
    <xf numFmtId="4" fontId="14" fillId="0" borderId="0" xfId="6" applyNumberFormat="1" applyFont="1" applyAlignment="1">
      <alignment horizontal="center" vertical="center"/>
    </xf>
    <xf numFmtId="166" fontId="14" fillId="0" borderId="0" xfId="4" applyFont="1" applyBorder="1" applyAlignment="1" applyProtection="1">
      <alignment horizontal="center" vertical="center"/>
    </xf>
    <xf numFmtId="3" fontId="14" fillId="0" borderId="0" xfId="6" applyNumberFormat="1" applyFont="1" applyAlignment="1">
      <alignment horizontal="center" vertical="center"/>
    </xf>
    <xf numFmtId="3" fontId="16" fillId="0" borderId="0" xfId="0" applyNumberFormat="1" applyFont="1"/>
    <xf numFmtId="4" fontId="16" fillId="0" borderId="0" xfId="0" applyNumberFormat="1" applyFont="1"/>
    <xf numFmtId="3" fontId="14" fillId="0" borderId="0" xfId="0" applyNumberFormat="1" applyFont="1" applyAlignment="1">
      <alignment horizontal="left" vertical="center"/>
    </xf>
    <xf numFmtId="3" fontId="14" fillId="0" borderId="0" xfId="0" applyNumberFormat="1" applyFont="1" applyAlignment="1">
      <alignment vertical="center"/>
    </xf>
    <xf numFmtId="49" fontId="19" fillId="0" borderId="0" xfId="6" applyNumberFormat="1" applyFont="1" applyAlignment="1">
      <alignment horizontal="center"/>
    </xf>
    <xf numFmtId="3" fontId="16" fillId="0" borderId="0" xfId="6" applyNumberFormat="1" applyFont="1"/>
    <xf numFmtId="3" fontId="20" fillId="0" borderId="0" xfId="6" applyNumberFormat="1" applyFont="1" applyAlignment="1">
      <alignment horizontal="left" vertical="center"/>
    </xf>
    <xf numFmtId="4" fontId="16" fillId="0" borderId="0" xfId="0" applyNumberFormat="1" applyFont="1" applyAlignment="1">
      <alignment horizontal="left"/>
    </xf>
    <xf numFmtId="166" fontId="16" fillId="0" borderId="0" xfId="4" applyFont="1" applyBorder="1" applyAlignment="1" applyProtection="1">
      <alignment horizontal="left"/>
    </xf>
    <xf numFmtId="167" fontId="16" fillId="0" borderId="0" xfId="3" applyFont="1" applyFill="1" applyBorder="1" applyAlignment="1" applyProtection="1">
      <alignment horizontal="left" vertical="center" wrapText="1"/>
    </xf>
    <xf numFmtId="4" fontId="16" fillId="0" borderId="0" xfId="3" applyNumberFormat="1" applyFont="1" applyFill="1" applyBorder="1" applyAlignment="1" applyProtection="1">
      <alignment horizontal="left" vertical="center" wrapText="1"/>
    </xf>
    <xf numFmtId="3" fontId="19" fillId="0" borderId="0" xfId="0" applyNumberFormat="1" applyFont="1" applyAlignment="1">
      <alignment vertical="center"/>
    </xf>
    <xf numFmtId="3" fontId="16" fillId="0" borderId="0" xfId="0" applyNumberFormat="1" applyFont="1" applyAlignment="1">
      <alignment horizontal="left" vertical="center"/>
    </xf>
    <xf numFmtId="3" fontId="14" fillId="0" borderId="9" xfId="0" applyNumberFormat="1" applyFont="1" applyBorder="1" applyAlignment="1">
      <alignment vertical="center"/>
    </xf>
    <xf numFmtId="3" fontId="14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right"/>
    </xf>
    <xf numFmtId="166" fontId="16" fillId="0" borderId="0" xfId="4" applyFont="1" applyFill="1" applyBorder="1" applyProtection="1"/>
    <xf numFmtId="3" fontId="16" fillId="0" borderId="0" xfId="6" applyNumberFormat="1" applyFont="1" applyAlignment="1">
      <alignment horizontal="left" vertical="center"/>
    </xf>
    <xf numFmtId="3" fontId="26" fillId="0" borderId="0" xfId="0" applyNumberFormat="1" applyFont="1"/>
    <xf numFmtId="49" fontId="27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left" vertical="center"/>
    </xf>
    <xf numFmtId="3" fontId="14" fillId="0" borderId="0" xfId="0" applyNumberFormat="1" applyFont="1" applyAlignment="1">
      <alignment horizontal="left"/>
    </xf>
    <xf numFmtId="168" fontId="16" fillId="0" borderId="0" xfId="6" applyNumberFormat="1" applyFont="1" applyAlignment="1">
      <alignment horizontal="center"/>
    </xf>
    <xf numFmtId="3" fontId="20" fillId="0" borderId="0" xfId="6" applyNumberFormat="1" applyFont="1" applyAlignment="1" applyProtection="1">
      <alignment horizontal="left" vertical="center"/>
      <protection locked="0"/>
    </xf>
    <xf numFmtId="3" fontId="14" fillId="0" borderId="0" xfId="6" applyNumberFormat="1" applyFont="1" applyAlignment="1" applyProtection="1">
      <alignment horizontal="left" vertical="center"/>
      <protection locked="0"/>
    </xf>
    <xf numFmtId="3" fontId="14" fillId="0" borderId="0" xfId="6" applyNumberFormat="1" applyFont="1" applyAlignment="1" applyProtection="1">
      <alignment horizontal="left"/>
      <protection locked="0"/>
    </xf>
    <xf numFmtId="3" fontId="19" fillId="0" borderId="0" xfId="7" applyNumberFormat="1" applyFont="1" applyAlignment="1" applyProtection="1">
      <alignment horizontal="left" vertical="center"/>
      <protection locked="0"/>
    </xf>
    <xf numFmtId="3" fontId="21" fillId="0" borderId="0" xfId="7" applyNumberFormat="1" applyFont="1" applyProtection="1">
      <protection locked="0"/>
    </xf>
    <xf numFmtId="0" fontId="16" fillId="0" borderId="9" xfId="0" applyFont="1" applyBorder="1"/>
    <xf numFmtId="0" fontId="16" fillId="0" borderId="0" xfId="0" applyFont="1"/>
    <xf numFmtId="170" fontId="21" fillId="0" borderId="0" xfId="7" applyNumberFormat="1" applyFont="1" applyAlignment="1" applyProtection="1">
      <alignment horizontal="left" vertical="center"/>
      <protection locked="0"/>
    </xf>
    <xf numFmtId="168" fontId="16" fillId="0" borderId="0" xfId="6" applyNumberFormat="1" applyFont="1" applyAlignment="1">
      <alignment horizontal="center" vertical="center"/>
    </xf>
    <xf numFmtId="3" fontId="14" fillId="4" borderId="0" xfId="0" applyNumberFormat="1" applyFont="1" applyFill="1" applyAlignment="1">
      <alignment horizontal="center" vertical="center"/>
    </xf>
    <xf numFmtId="168" fontId="16" fillId="4" borderId="0" xfId="6" applyNumberFormat="1" applyFont="1" applyFill="1" applyAlignment="1">
      <alignment horizontal="center" vertical="center"/>
    </xf>
    <xf numFmtId="3" fontId="26" fillId="0" borderId="0" xfId="7" applyNumberFormat="1" applyFont="1" applyProtection="1">
      <protection locked="0"/>
    </xf>
    <xf numFmtId="171" fontId="21" fillId="0" borderId="0" xfId="7" applyNumberFormat="1" applyFont="1" applyProtection="1">
      <protection locked="0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/>
    <xf numFmtId="4" fontId="1" fillId="0" borderId="0" xfId="0" applyNumberFormat="1" applyFont="1"/>
    <xf numFmtId="166" fontId="1" fillId="0" borderId="0" xfId="4" applyFont="1" applyFill="1" applyBorder="1" applyProtection="1"/>
    <xf numFmtId="3" fontId="1" fillId="0" borderId="0" xfId="6" applyNumberFormat="1" applyFont="1"/>
    <xf numFmtId="3" fontId="1" fillId="0" borderId="0" xfId="6" applyNumberFormat="1" applyFont="1" applyAlignment="1">
      <alignment horizontal="center"/>
    </xf>
    <xf numFmtId="3" fontId="1" fillId="0" borderId="16" xfId="6" applyNumberFormat="1" applyFont="1" applyBorder="1" applyAlignment="1">
      <alignment horizontal="center"/>
    </xf>
    <xf numFmtId="0" fontId="29" fillId="0" borderId="9" xfId="0" applyFont="1" applyBorder="1" applyAlignment="1">
      <alignment horizontal="center"/>
    </xf>
    <xf numFmtId="0" fontId="29" fillId="0" borderId="0" xfId="0" applyFont="1" applyAlignment="1">
      <alignment horizontal="center"/>
    </xf>
    <xf numFmtId="3" fontId="19" fillId="2" borderId="18" xfId="7" applyNumberFormat="1" applyFont="1" applyFill="1" applyBorder="1" applyAlignment="1" applyProtection="1">
      <alignment horizontal="left" vertical="center"/>
      <protection locked="0"/>
    </xf>
    <xf numFmtId="3" fontId="19" fillId="2" borderId="19" xfId="7" applyNumberFormat="1" applyFont="1" applyFill="1" applyBorder="1" applyAlignment="1" applyProtection="1">
      <alignment horizontal="left" vertical="center"/>
      <protection locked="0"/>
    </xf>
    <xf numFmtId="169" fontId="16" fillId="0" borderId="0" xfId="0" applyNumberFormat="1" applyFont="1" applyAlignment="1" applyProtection="1">
      <alignment horizontal="left" vertical="center"/>
      <protection locked="0"/>
    </xf>
    <xf numFmtId="169" fontId="16" fillId="0" borderId="0" xfId="0" applyNumberFormat="1" applyFont="1" applyAlignment="1">
      <alignment horizontal="left" vertical="center"/>
    </xf>
    <xf numFmtId="3" fontId="29" fillId="0" borderId="9" xfId="6" applyNumberFormat="1" applyFont="1" applyBorder="1" applyAlignment="1">
      <alignment vertical="center"/>
    </xf>
    <xf numFmtId="3" fontId="29" fillId="0" borderId="0" xfId="6" applyNumberFormat="1" applyFont="1" applyAlignment="1">
      <alignment horizontal="center" vertical="center"/>
    </xf>
    <xf numFmtId="49" fontId="29" fillId="0" borderId="0" xfId="6" applyNumberFormat="1" applyFont="1" applyAlignment="1">
      <alignment horizontal="center" vertical="center"/>
    </xf>
    <xf numFmtId="3" fontId="21" fillId="0" borderId="0" xfId="0" applyNumberFormat="1" applyFont="1" applyAlignment="1">
      <alignment horizontal="center"/>
    </xf>
    <xf numFmtId="49" fontId="1" fillId="0" borderId="9" xfId="6" applyNumberFormat="1" applyFont="1" applyBorder="1" applyAlignment="1">
      <alignment vertical="center"/>
    </xf>
    <xf numFmtId="49" fontId="0" fillId="0" borderId="0" xfId="0" applyNumberFormat="1" applyAlignment="1">
      <alignment horizontal="center" vertical="center"/>
    </xf>
    <xf numFmtId="15" fontId="1" fillId="0" borderId="0" xfId="0" applyNumberFormat="1" applyFont="1" applyAlignment="1">
      <alignment horizontal="center" vertical="center"/>
    </xf>
    <xf numFmtId="172" fontId="1" fillId="0" borderId="0" xfId="6" applyNumberFormat="1" applyFont="1" applyAlignment="1">
      <alignment horizontal="center" vertical="center"/>
    </xf>
    <xf numFmtId="10" fontId="1" fillId="0" borderId="0" xfId="5" applyNumberFormat="1" applyFont="1" applyFill="1" applyBorder="1" applyAlignment="1" applyProtection="1">
      <alignment horizontal="center" vertical="center"/>
    </xf>
    <xf numFmtId="172" fontId="1" fillId="0" borderId="0" xfId="6" applyNumberFormat="1" applyFont="1" applyAlignment="1">
      <alignment vertical="center"/>
    </xf>
    <xf numFmtId="166" fontId="1" fillId="0" borderId="0" xfId="4" applyFont="1" applyFill="1" applyBorder="1" applyAlignment="1" applyProtection="1">
      <alignment horizontal="center" vertical="center"/>
    </xf>
    <xf numFmtId="0" fontId="29" fillId="0" borderId="0" xfId="0" applyFont="1" applyAlignment="1">
      <alignment horizontal="right" vertical="center" wrapText="1"/>
    </xf>
    <xf numFmtId="3" fontId="29" fillId="0" borderId="13" xfId="6" applyNumberFormat="1" applyFont="1" applyBorder="1"/>
    <xf numFmtId="3" fontId="30" fillId="0" borderId="14" xfId="6" applyNumberFormat="1" applyFont="1" applyBorder="1" applyAlignment="1">
      <alignment horizontal="centerContinuous"/>
    </xf>
    <xf numFmtId="3" fontId="31" fillId="0" borderId="14" xfId="6" applyNumberFormat="1" applyFont="1" applyBorder="1" applyAlignment="1">
      <alignment horizontal="center"/>
    </xf>
    <xf numFmtId="4" fontId="32" fillId="0" borderId="14" xfId="6" applyNumberFormat="1" applyFont="1" applyBorder="1" applyAlignment="1">
      <alignment horizontal="right"/>
    </xf>
    <xf numFmtId="166" fontId="32" fillId="0" borderId="14" xfId="4" applyFont="1" applyBorder="1" applyAlignment="1" applyProtection="1">
      <alignment horizontal="centerContinuous"/>
    </xf>
    <xf numFmtId="4" fontId="30" fillId="0" borderId="14" xfId="6" applyNumberFormat="1" applyFont="1" applyBorder="1" applyAlignment="1">
      <alignment horizontal="centerContinuous"/>
    </xf>
    <xf numFmtId="166" fontId="30" fillId="0" borderId="14" xfId="4" applyFont="1" applyBorder="1" applyAlignment="1" applyProtection="1">
      <alignment horizontal="centerContinuous"/>
    </xf>
    <xf numFmtId="3" fontId="33" fillId="0" borderId="14" xfId="6" applyNumberFormat="1" applyFont="1" applyBorder="1" applyAlignment="1">
      <alignment horizontal="centerContinuous"/>
    </xf>
    <xf numFmtId="3" fontId="30" fillId="0" borderId="14" xfId="6" applyNumberFormat="1" applyFont="1" applyBorder="1" applyAlignment="1">
      <alignment horizontal="center"/>
    </xf>
    <xf numFmtId="3" fontId="30" fillId="0" borderId="15" xfId="6" applyNumberFormat="1" applyFont="1" applyBorder="1" applyAlignment="1">
      <alignment horizontal="center"/>
    </xf>
    <xf numFmtId="3" fontId="1" fillId="0" borderId="9" xfId="6" applyNumberFormat="1" applyFont="1" applyBorder="1"/>
    <xf numFmtId="3" fontId="13" fillId="0" borderId="0" xfId="6" applyNumberFormat="1" applyFont="1" applyAlignment="1">
      <alignment horizontal="center"/>
    </xf>
    <xf numFmtId="4" fontId="1" fillId="0" borderId="0" xfId="6" applyNumberFormat="1" applyFont="1" applyAlignment="1">
      <alignment horizontal="right"/>
    </xf>
    <xf numFmtId="166" fontId="1" fillId="0" borderId="0" xfId="4" applyFont="1" applyBorder="1" applyProtection="1"/>
    <xf numFmtId="4" fontId="1" fillId="0" borderId="0" xfId="6" applyNumberFormat="1" applyFont="1"/>
    <xf numFmtId="3" fontId="13" fillId="0" borderId="0" xfId="6" applyNumberFormat="1" applyFont="1"/>
    <xf numFmtId="3" fontId="29" fillId="0" borderId="37" xfId="0" applyNumberFormat="1" applyFont="1" applyBorder="1" applyAlignment="1" applyProtection="1">
      <alignment horizontal="center"/>
      <protection locked="0"/>
    </xf>
    <xf numFmtId="4" fontId="6" fillId="0" borderId="16" xfId="0" applyNumberFormat="1" applyFont="1" applyBorder="1" applyProtection="1">
      <protection locked="0"/>
    </xf>
    <xf numFmtId="3" fontId="6" fillId="0" borderId="0" xfId="0" applyNumberFormat="1" applyFont="1" applyProtection="1">
      <protection locked="0"/>
    </xf>
    <xf numFmtId="3" fontId="1" fillId="0" borderId="9" xfId="0" applyNumberFormat="1" applyFont="1" applyBorder="1" applyProtection="1">
      <protection locked="0"/>
    </xf>
    <xf numFmtId="3" fontId="1" fillId="0" borderId="0" xfId="0" applyNumberFormat="1" applyFont="1" applyProtection="1">
      <protection locked="0"/>
    </xf>
    <xf numFmtId="3" fontId="13" fillId="0" borderId="0" xfId="0" applyNumberFormat="1" applyFont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166" fontId="1" fillId="0" borderId="0" xfId="4" applyFont="1" applyBorder="1" applyProtection="1">
      <protection locked="0"/>
    </xf>
    <xf numFmtId="4" fontId="1" fillId="0" borderId="0" xfId="0" applyNumberFormat="1" applyFont="1" applyProtection="1">
      <protection locked="0"/>
    </xf>
    <xf numFmtId="3" fontId="13" fillId="0" borderId="0" xfId="0" applyNumberFormat="1" applyFont="1" applyProtection="1">
      <protection locked="0"/>
    </xf>
    <xf numFmtId="3" fontId="1" fillId="0" borderId="0" xfId="0" applyNumberFormat="1" applyFont="1" applyAlignment="1" applyProtection="1">
      <alignment horizontal="center"/>
      <protection locked="0"/>
    </xf>
    <xf numFmtId="3" fontId="34" fillId="3" borderId="38" xfId="0" applyNumberFormat="1" applyFont="1" applyFill="1" applyBorder="1" applyAlignment="1" applyProtection="1">
      <alignment horizontal="center" vertical="center"/>
      <protection locked="0"/>
    </xf>
    <xf numFmtId="3" fontId="29" fillId="0" borderId="0" xfId="0" applyNumberFormat="1" applyFont="1" applyAlignment="1" applyProtection="1">
      <alignment horizontal="center"/>
      <protection locked="0"/>
    </xf>
    <xf numFmtId="3" fontId="29" fillId="0" borderId="9" xfId="0" applyNumberFormat="1" applyFont="1" applyBorder="1" applyAlignment="1" applyProtection="1">
      <alignment horizontal="center"/>
      <protection locked="0"/>
    </xf>
    <xf numFmtId="0" fontId="0" fillId="0" borderId="16" xfId="0" applyBorder="1" applyProtection="1">
      <protection locked="0"/>
    </xf>
    <xf numFmtId="0" fontId="0" fillId="0" borderId="0" xfId="0" applyProtection="1">
      <protection locked="0"/>
    </xf>
    <xf numFmtId="3" fontId="35" fillId="0" borderId="39" xfId="0" applyNumberFormat="1" applyFont="1" applyBorder="1" applyProtection="1">
      <protection locked="0"/>
    </xf>
    <xf numFmtId="3" fontId="35" fillId="0" borderId="39" xfId="0" applyNumberFormat="1" applyFont="1" applyBorder="1" applyAlignment="1" applyProtection="1">
      <alignment horizontal="center"/>
      <protection locked="0"/>
    </xf>
    <xf numFmtId="4" fontId="35" fillId="0" borderId="39" xfId="0" applyNumberFormat="1" applyFont="1" applyBorder="1" applyAlignment="1" applyProtection="1">
      <alignment horizontal="center" vertical="center"/>
      <protection locked="0"/>
    </xf>
    <xf numFmtId="166" fontId="34" fillId="0" borderId="39" xfId="4" applyFont="1" applyFill="1" applyBorder="1" applyAlignment="1" applyProtection="1">
      <protection locked="0"/>
    </xf>
    <xf numFmtId="3" fontId="34" fillId="0" borderId="36" xfId="0" applyNumberFormat="1" applyFont="1" applyBorder="1" applyProtection="1">
      <protection locked="0"/>
    </xf>
    <xf numFmtId="3" fontId="29" fillId="0" borderId="39" xfId="0" applyNumberFormat="1" applyFont="1" applyBorder="1" applyAlignment="1" applyProtection="1">
      <alignment horizontal="center"/>
      <protection locked="0"/>
    </xf>
    <xf numFmtId="166" fontId="29" fillId="0" borderId="39" xfId="4" applyFont="1" applyBorder="1" applyAlignment="1" applyProtection="1">
      <alignment horizontal="center"/>
      <protection locked="0"/>
    </xf>
    <xf numFmtId="3" fontId="1" fillId="0" borderId="0" xfId="6" applyNumberFormat="1" applyFont="1" applyProtection="1">
      <protection locked="0"/>
    </xf>
    <xf numFmtId="3" fontId="36" fillId="0" borderId="39" xfId="0" applyNumberFormat="1" applyFont="1" applyBorder="1" applyAlignment="1" applyProtection="1">
      <alignment horizontal="center"/>
      <protection locked="0"/>
    </xf>
    <xf numFmtId="0" fontId="0" fillId="0" borderId="39" xfId="0" applyBorder="1" applyAlignment="1">
      <alignment horizontal="center" vertical="center"/>
    </xf>
    <xf numFmtId="3" fontId="37" fillId="0" borderId="39" xfId="0" applyNumberFormat="1" applyFont="1" applyBorder="1" applyAlignment="1" applyProtection="1">
      <alignment horizontal="center" vertical="center"/>
      <protection locked="0"/>
    </xf>
    <xf numFmtId="4" fontId="37" fillId="0" borderId="39" xfId="0" applyNumberFormat="1" applyFont="1" applyBorder="1" applyAlignment="1" applyProtection="1">
      <alignment horizontal="right" vertical="center"/>
      <protection locked="0"/>
    </xf>
    <xf numFmtId="167" fontId="1" fillId="0" borderId="39" xfId="3" applyFont="1" applyBorder="1" applyAlignment="1">
      <alignment horizontal="center" vertical="center"/>
    </xf>
    <xf numFmtId="168" fontId="18" fillId="0" borderId="39" xfId="6" applyNumberFormat="1" applyFont="1" applyBorder="1" applyAlignment="1" applyProtection="1">
      <alignment vertical="center"/>
      <protection locked="0"/>
    </xf>
    <xf numFmtId="4" fontId="0" fillId="0" borderId="39" xfId="0" applyNumberFormat="1" applyBorder="1" applyAlignment="1" applyProtection="1">
      <alignment horizontal="right" vertical="center"/>
      <protection locked="0"/>
    </xf>
    <xf numFmtId="173" fontId="18" fillId="6" borderId="39" xfId="4" applyNumberFormat="1" applyFont="1" applyFill="1" applyBorder="1" applyAlignment="1" applyProtection="1">
      <alignment vertical="center"/>
      <protection locked="0"/>
    </xf>
    <xf numFmtId="4" fontId="13" fillId="0" borderId="39" xfId="0" applyNumberFormat="1" applyFont="1" applyBorder="1" applyAlignment="1" applyProtection="1">
      <alignment horizontal="centerContinuous"/>
      <protection locked="0"/>
    </xf>
    <xf numFmtId="166" fontId="18" fillId="6" borderId="36" xfId="4" applyFont="1" applyFill="1" applyBorder="1" applyAlignment="1" applyProtection="1">
      <alignment vertical="center"/>
      <protection locked="0"/>
    </xf>
    <xf numFmtId="4" fontId="1" fillId="0" borderId="39" xfId="0" applyNumberFormat="1" applyFont="1" applyBorder="1" applyAlignment="1" applyProtection="1">
      <alignment horizontal="centerContinuous"/>
      <protection locked="0"/>
    </xf>
    <xf numFmtId="173" fontId="1" fillId="0" borderId="36" xfId="4" applyNumberFormat="1" applyFont="1" applyFill="1" applyBorder="1" applyAlignment="1" applyProtection="1">
      <alignment vertical="center"/>
      <protection locked="0"/>
    </xf>
    <xf numFmtId="174" fontId="1" fillId="0" borderId="35" xfId="6" applyNumberFormat="1" applyFont="1" applyBorder="1" applyAlignment="1" applyProtection="1">
      <alignment horizontal="center" vertical="center"/>
      <protection locked="0"/>
    </xf>
    <xf numFmtId="174" fontId="1" fillId="0" borderId="36" xfId="6" applyNumberFormat="1" applyFont="1" applyBorder="1" applyAlignment="1" applyProtection="1">
      <alignment horizontal="center" vertical="center"/>
      <protection locked="0"/>
    </xf>
    <xf numFmtId="3" fontId="37" fillId="0" borderId="40" xfId="0" applyNumberFormat="1" applyFont="1" applyBorder="1" applyAlignment="1" applyProtection="1">
      <alignment horizontal="center" vertical="center"/>
      <protection locked="0"/>
    </xf>
    <xf numFmtId="4" fontId="37" fillId="0" borderId="40" xfId="0" applyNumberFormat="1" applyFont="1" applyBorder="1" applyAlignment="1" applyProtection="1">
      <alignment horizontal="right" vertical="center"/>
      <protection locked="0"/>
    </xf>
    <xf numFmtId="0" fontId="0" fillId="0" borderId="39" xfId="0" applyBorder="1" applyAlignment="1">
      <alignment horizontal="center" vertical="center" wrapText="1"/>
    </xf>
    <xf numFmtId="167" fontId="0" fillId="0" borderId="39" xfId="3" applyFont="1" applyBorder="1" applyAlignment="1">
      <alignment horizontal="center" vertical="center"/>
    </xf>
    <xf numFmtId="3" fontId="21" fillId="0" borderId="0" xfId="0" applyNumberFormat="1" applyFont="1" applyProtection="1">
      <protection locked="0"/>
    </xf>
    <xf numFmtId="0" fontId="13" fillId="7" borderId="41" xfId="0" applyFont="1" applyFill="1" applyBorder="1" applyAlignment="1" applyProtection="1">
      <alignment horizontal="left" vertical="center"/>
      <protection locked="0"/>
    </xf>
    <xf numFmtId="0" fontId="29" fillId="7" borderId="41" xfId="8" applyFont="1" applyFill="1" applyBorder="1" applyAlignment="1" applyProtection="1">
      <alignment horizontal="center" vertical="center"/>
      <protection locked="0"/>
    </xf>
    <xf numFmtId="4" fontId="29" fillId="7" borderId="41" xfId="8" applyNumberFormat="1" applyFont="1" applyFill="1" applyBorder="1" applyAlignment="1" applyProtection="1">
      <alignment horizontal="right" vertical="center"/>
      <protection locked="0"/>
    </xf>
    <xf numFmtId="166" fontId="29" fillId="7" borderId="13" xfId="4" applyFont="1" applyFill="1" applyBorder="1" applyAlignment="1" applyProtection="1">
      <alignment vertical="center"/>
      <protection locked="0"/>
    </xf>
    <xf numFmtId="168" fontId="29" fillId="7" borderId="42" xfId="6" applyNumberFormat="1" applyFont="1" applyFill="1" applyBorder="1" applyAlignment="1" applyProtection="1">
      <alignment vertical="center"/>
      <protection locked="0"/>
    </xf>
    <xf numFmtId="3" fontId="1" fillId="0" borderId="0" xfId="6" applyNumberFormat="1" applyFont="1" applyAlignment="1" applyProtection="1">
      <alignment vertical="center"/>
      <protection locked="0"/>
    </xf>
    <xf numFmtId="173" fontId="12" fillId="7" borderId="36" xfId="4" applyNumberFormat="1" applyFont="1" applyFill="1" applyBorder="1" applyAlignment="1" applyProtection="1">
      <alignment vertical="center"/>
      <protection locked="0"/>
    </xf>
    <xf numFmtId="166" fontId="12" fillId="6" borderId="36" xfId="4" applyFont="1" applyFill="1" applyBorder="1" applyAlignment="1" applyProtection="1">
      <alignment vertical="center"/>
      <protection locked="0"/>
    </xf>
    <xf numFmtId="4" fontId="29" fillId="0" borderId="39" xfId="0" applyNumberFormat="1" applyFont="1" applyBorder="1" applyAlignment="1" applyProtection="1">
      <alignment horizontal="center" vertical="center"/>
      <protection locked="0"/>
    </xf>
    <xf numFmtId="173" fontId="29" fillId="7" borderId="36" xfId="4" applyNumberFormat="1" applyFont="1" applyFill="1" applyBorder="1" applyAlignment="1" applyProtection="1">
      <alignment vertical="center"/>
      <protection locked="0"/>
    </xf>
    <xf numFmtId="4" fontId="21" fillId="0" borderId="16" xfId="0" applyNumberFormat="1" applyFont="1" applyBorder="1" applyProtection="1">
      <protection locked="0"/>
    </xf>
    <xf numFmtId="3" fontId="35" fillId="0" borderId="9" xfId="0" applyNumberFormat="1" applyFont="1" applyBorder="1" applyAlignment="1" applyProtection="1">
      <alignment vertical="center"/>
      <protection locked="0"/>
    </xf>
    <xf numFmtId="3" fontId="35" fillId="0" borderId="0" xfId="0" applyNumberFormat="1" applyFont="1" applyAlignment="1" applyProtection="1">
      <alignment horizontal="left" vertical="center" wrapText="1"/>
      <protection locked="0"/>
    </xf>
    <xf numFmtId="3" fontId="35" fillId="0" borderId="0" xfId="0" applyNumberFormat="1" applyFont="1" applyAlignment="1" applyProtection="1">
      <alignment horizontal="center" vertical="center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166" fontId="39" fillId="0" borderId="0" xfId="4" applyFont="1" applyFill="1" applyBorder="1" applyAlignment="1" applyProtection="1">
      <alignment vertical="center" wrapText="1"/>
      <protection locked="0"/>
    </xf>
    <xf numFmtId="4" fontId="1" fillId="0" borderId="0" xfId="6" applyNumberFormat="1" applyFont="1" applyProtection="1">
      <protection locked="0"/>
    </xf>
    <xf numFmtId="166" fontId="1" fillId="0" borderId="0" xfId="4" applyFont="1" applyFill="1" applyBorder="1" applyProtection="1">
      <protection locked="0"/>
    </xf>
    <xf numFmtId="4" fontId="13" fillId="0" borderId="0" xfId="6" applyNumberFormat="1" applyFont="1" applyProtection="1">
      <protection locked="0"/>
    </xf>
    <xf numFmtId="166" fontId="1" fillId="6" borderId="0" xfId="4" applyFont="1" applyFill="1" applyBorder="1" applyProtection="1">
      <protection locked="0"/>
    </xf>
    <xf numFmtId="173" fontId="1" fillId="0" borderId="0" xfId="4" applyNumberFormat="1" applyFont="1" applyFill="1" applyBorder="1" applyProtection="1">
      <protection locked="0"/>
    </xf>
    <xf numFmtId="3" fontId="1" fillId="0" borderId="0" xfId="6" applyNumberFormat="1" applyFont="1" applyAlignment="1" applyProtection="1">
      <alignment horizontal="center"/>
      <protection locked="0"/>
    </xf>
    <xf numFmtId="166" fontId="35" fillId="0" borderId="39" xfId="4" applyFont="1" applyFill="1" applyBorder="1" applyAlignment="1" applyProtection="1">
      <alignment horizontal="center"/>
      <protection locked="0"/>
    </xf>
    <xf numFmtId="168" fontId="37" fillId="0" borderId="39" xfId="6" applyNumberFormat="1" applyFont="1" applyBorder="1" applyAlignment="1" applyProtection="1">
      <alignment vertical="center"/>
      <protection locked="0"/>
    </xf>
    <xf numFmtId="0" fontId="40" fillId="8" borderId="39" xfId="8" applyFont="1" applyFill="1" applyBorder="1" applyAlignment="1" applyProtection="1">
      <alignment horizontal="center" vertical="center" wrapText="1"/>
      <protection locked="0"/>
    </xf>
    <xf numFmtId="3" fontId="20" fillId="8" borderId="39" xfId="0" applyNumberFormat="1" applyFont="1" applyFill="1" applyBorder="1" applyAlignment="1" applyProtection="1">
      <alignment horizontal="center" vertical="center"/>
      <protection locked="0"/>
    </xf>
    <xf numFmtId="166" fontId="20" fillId="8" borderId="39" xfId="4" applyFont="1" applyFill="1" applyBorder="1" applyAlignment="1" applyProtection="1">
      <alignment horizontal="center" vertical="center"/>
      <protection locked="0"/>
    </xf>
    <xf numFmtId="168" fontId="29" fillId="8" borderId="39" xfId="6" applyNumberFormat="1" applyFont="1" applyFill="1" applyBorder="1" applyAlignment="1" applyProtection="1">
      <alignment horizontal="center" vertical="center"/>
      <protection locked="0"/>
    </xf>
    <xf numFmtId="3" fontId="29" fillId="8" borderId="39" xfId="0" applyNumberFormat="1" applyFont="1" applyFill="1" applyBorder="1" applyAlignment="1" applyProtection="1">
      <alignment horizontal="center"/>
      <protection locked="0"/>
    </xf>
    <xf numFmtId="166" fontId="29" fillId="8" borderId="39" xfId="4" applyFont="1" applyFill="1" applyBorder="1" applyAlignment="1" applyProtection="1">
      <alignment horizontal="center"/>
      <protection locked="0"/>
    </xf>
    <xf numFmtId="166" fontId="29" fillId="6" borderId="39" xfId="4" applyFont="1" applyFill="1" applyBorder="1" applyAlignment="1" applyProtection="1">
      <alignment horizontal="center"/>
      <protection locked="0"/>
    </xf>
    <xf numFmtId="3" fontId="29" fillId="8" borderId="36" xfId="0" applyNumberFormat="1" applyFont="1" applyFill="1" applyBorder="1" applyAlignment="1" applyProtection="1">
      <alignment horizontal="center"/>
      <protection locked="0"/>
    </xf>
    <xf numFmtId="173" fontId="29" fillId="8" borderId="39" xfId="4" applyNumberFormat="1" applyFont="1" applyFill="1" applyBorder="1" applyAlignment="1" applyProtection="1">
      <alignment horizontal="center"/>
      <protection locked="0"/>
    </xf>
    <xf numFmtId="3" fontId="29" fillId="8" borderId="35" xfId="0" applyNumberFormat="1" applyFont="1" applyFill="1" applyBorder="1" applyAlignment="1" applyProtection="1">
      <alignment horizontal="center"/>
      <protection locked="0"/>
    </xf>
    <xf numFmtId="0" fontId="41" fillId="0" borderId="39" xfId="0" applyFont="1" applyBorder="1" applyAlignment="1" applyProtection="1">
      <alignment horizontal="center" vertical="center" wrapText="1"/>
      <protection locked="0"/>
    </xf>
    <xf numFmtId="175" fontId="1" fillId="0" borderId="35" xfId="1" applyFont="1" applyFill="1" applyBorder="1" applyAlignment="1" applyProtection="1">
      <alignment horizontal="right" vertical="center"/>
      <protection locked="0"/>
    </xf>
    <xf numFmtId="173" fontId="1" fillId="0" borderId="35" xfId="4" applyNumberFormat="1" applyFont="1" applyFill="1" applyBorder="1" applyAlignment="1" applyProtection="1">
      <alignment vertical="center"/>
      <protection locked="0"/>
    </xf>
    <xf numFmtId="168" fontId="1" fillId="0" borderId="39" xfId="6" applyNumberFormat="1" applyFont="1" applyBorder="1" applyAlignment="1" applyProtection="1">
      <alignment vertical="center"/>
      <protection locked="0"/>
    </xf>
    <xf numFmtId="176" fontId="18" fillId="0" borderId="39" xfId="2" applyNumberFormat="1" applyFont="1" applyFill="1" applyBorder="1" applyAlignment="1" applyProtection="1">
      <alignment horizontal="center" vertical="center"/>
      <protection locked="0"/>
    </xf>
    <xf numFmtId="3" fontId="12" fillId="0" borderId="0" xfId="0" applyNumberFormat="1" applyFont="1" applyAlignment="1" applyProtection="1">
      <alignment horizontal="center"/>
      <protection locked="0"/>
    </xf>
    <xf numFmtId="176" fontId="42" fillId="0" borderId="39" xfId="2" applyNumberFormat="1" applyFont="1" applyFill="1" applyBorder="1" applyAlignment="1" applyProtection="1">
      <alignment horizontal="center" vertical="center"/>
      <protection locked="0"/>
    </xf>
    <xf numFmtId="173" fontId="18" fillId="6" borderId="36" xfId="4" applyNumberFormat="1" applyFont="1" applyFill="1" applyBorder="1" applyAlignment="1" applyProtection="1">
      <alignment vertical="center"/>
      <protection locked="0"/>
    </xf>
    <xf numFmtId="3" fontId="12" fillId="0" borderId="16" xfId="0" applyNumberFormat="1" applyFont="1" applyBorder="1" applyAlignment="1" applyProtection="1">
      <alignment horizontal="center"/>
      <protection locked="0"/>
    </xf>
    <xf numFmtId="4" fontId="18" fillId="0" borderId="39" xfId="0" applyNumberFormat="1" applyFont="1" applyBorder="1" applyAlignment="1" applyProtection="1">
      <alignment horizontal="centerContinuous"/>
      <protection locked="0"/>
    </xf>
    <xf numFmtId="173" fontId="18" fillId="0" borderId="36" xfId="4" applyNumberFormat="1" applyFont="1" applyFill="1" applyBorder="1" applyAlignment="1" applyProtection="1">
      <alignment vertical="center"/>
      <protection locked="0"/>
    </xf>
    <xf numFmtId="0" fontId="43" fillId="0" borderId="39" xfId="8" applyFont="1" applyBorder="1" applyAlignment="1" applyProtection="1">
      <alignment horizontal="center" vertical="center" wrapText="1"/>
      <protection locked="0"/>
    </xf>
    <xf numFmtId="3" fontId="13" fillId="0" borderId="39" xfId="0" applyNumberFormat="1" applyFont="1" applyBorder="1" applyAlignment="1" applyProtection="1">
      <alignment horizontal="center"/>
      <protection locked="0"/>
    </xf>
    <xf numFmtId="175" fontId="13" fillId="0" borderId="39" xfId="1" applyFont="1" applyFill="1" applyBorder="1" applyAlignment="1" applyProtection="1">
      <alignment horizontal="center"/>
      <protection locked="0"/>
    </xf>
    <xf numFmtId="166" fontId="13" fillId="0" borderId="39" xfId="4" applyFont="1" applyFill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3" fontId="18" fillId="0" borderId="0" xfId="0" applyNumberFormat="1" applyFont="1" applyAlignment="1" applyProtection="1">
      <alignment horizontal="center"/>
      <protection locked="0"/>
    </xf>
    <xf numFmtId="3" fontId="18" fillId="0" borderId="16" xfId="0" applyNumberFormat="1" applyFont="1" applyBorder="1" applyAlignment="1" applyProtection="1">
      <alignment horizontal="center"/>
      <protection locked="0"/>
    </xf>
    <xf numFmtId="4" fontId="44" fillId="0" borderId="0" xfId="0" applyNumberFormat="1" applyFont="1" applyProtection="1">
      <protection locked="0"/>
    </xf>
    <xf numFmtId="175" fontId="1" fillId="0" borderId="39" xfId="1" applyFont="1" applyFill="1" applyBorder="1" applyProtection="1">
      <protection locked="0"/>
    </xf>
    <xf numFmtId="3" fontId="18" fillId="0" borderId="0" xfId="6" applyNumberFormat="1" applyFont="1" applyProtection="1">
      <protection locked="0"/>
    </xf>
    <xf numFmtId="0" fontId="40" fillId="0" borderId="39" xfId="8" applyFont="1" applyBorder="1" applyAlignment="1" applyProtection="1">
      <alignment horizontal="center" vertical="center" wrapText="1"/>
      <protection locked="0"/>
    </xf>
    <xf numFmtId="3" fontId="19" fillId="0" borderId="39" xfId="0" applyNumberFormat="1" applyFont="1" applyBorder="1" applyAlignment="1" applyProtection="1">
      <alignment horizontal="center" vertical="center"/>
      <protection locked="0"/>
    </xf>
    <xf numFmtId="166" fontId="19" fillId="0" borderId="39" xfId="4" applyFont="1" applyFill="1" applyBorder="1" applyAlignment="1" applyProtection="1">
      <alignment horizontal="center" vertical="center"/>
      <protection locked="0"/>
    </xf>
    <xf numFmtId="3" fontId="18" fillId="0" borderId="0" xfId="6" applyNumberFormat="1" applyFont="1" applyAlignment="1" applyProtection="1">
      <alignment vertical="center"/>
      <protection locked="0"/>
    </xf>
    <xf numFmtId="3" fontId="18" fillId="0" borderId="16" xfId="6" applyNumberFormat="1" applyFont="1" applyBorder="1" applyAlignment="1" applyProtection="1">
      <alignment vertical="center"/>
      <protection locked="0"/>
    </xf>
    <xf numFmtId="175" fontId="43" fillId="0" borderId="39" xfId="1" applyFont="1" applyFill="1" applyBorder="1" applyAlignment="1" applyProtection="1">
      <alignment horizontal="center" vertical="center" wrapText="1"/>
      <protection locked="0"/>
    </xf>
    <xf numFmtId="175" fontId="13" fillId="0" borderId="39" xfId="1" applyFont="1" applyFill="1" applyBorder="1" applyAlignment="1" applyProtection="1">
      <alignment horizontal="center" vertical="center"/>
      <protection locked="0"/>
    </xf>
    <xf numFmtId="175" fontId="13" fillId="0" borderId="39" xfId="1" applyFont="1" applyFill="1" applyBorder="1" applyAlignment="1" applyProtection="1">
      <alignment horizontal="right" vertical="center"/>
      <protection locked="0"/>
    </xf>
    <xf numFmtId="175" fontId="1" fillId="0" borderId="39" xfId="1" applyFont="1" applyFill="1" applyBorder="1" applyAlignment="1" applyProtection="1">
      <alignment horizontal="right" vertical="center"/>
      <protection locked="0"/>
    </xf>
    <xf numFmtId="175" fontId="37" fillId="0" borderId="35" xfId="1" applyFont="1" applyFill="1" applyBorder="1" applyAlignment="1" applyProtection="1">
      <alignment horizontal="left" vertical="center"/>
      <protection locked="0"/>
    </xf>
    <xf numFmtId="175" fontId="37" fillId="0" borderId="5" xfId="1" applyFont="1" applyFill="1" applyBorder="1" applyAlignment="1" applyProtection="1">
      <alignment horizontal="left" vertical="center"/>
      <protection locked="0"/>
    </xf>
    <xf numFmtId="175" fontId="37" fillId="0" borderId="36" xfId="1" applyFont="1" applyFill="1" applyBorder="1" applyAlignment="1" applyProtection="1">
      <alignment horizontal="left" vertical="center"/>
      <protection locked="0"/>
    </xf>
    <xf numFmtId="175" fontId="13" fillId="0" borderId="35" xfId="1" applyFont="1" applyFill="1" applyBorder="1" applyAlignment="1" applyProtection="1">
      <alignment horizontal="right" vertical="center"/>
      <protection locked="0"/>
    </xf>
    <xf numFmtId="0" fontId="41" fillId="0" borderId="39" xfId="0" applyFont="1" applyBorder="1" applyAlignment="1" applyProtection="1">
      <alignment horizontal="center" vertical="center"/>
      <protection locked="0"/>
    </xf>
    <xf numFmtId="175" fontId="41" fillId="0" borderId="39" xfId="1" applyFont="1" applyFill="1" applyBorder="1" applyAlignment="1" applyProtection="1">
      <alignment horizontal="center" vertical="center"/>
      <protection locked="0"/>
    </xf>
    <xf numFmtId="3" fontId="21" fillId="0" borderId="39" xfId="0" applyNumberFormat="1" applyFont="1" applyBorder="1" applyProtection="1">
      <protection locked="0"/>
    </xf>
    <xf numFmtId="3" fontId="6" fillId="0" borderId="0" xfId="0" applyNumberFormat="1" applyFont="1" applyAlignment="1" applyProtection="1">
      <alignment horizontal="center"/>
      <protection locked="0"/>
    </xf>
    <xf numFmtId="177" fontId="0" fillId="0" borderId="39" xfId="0" applyNumberFormat="1" applyBorder="1" applyAlignment="1">
      <alignment horizontal="center" vertical="center"/>
    </xf>
    <xf numFmtId="175" fontId="13" fillId="0" borderId="39" xfId="1" applyFont="1" applyFill="1" applyBorder="1" applyAlignment="1" applyProtection="1">
      <alignment horizontal="center" vertical="center" wrapText="1"/>
      <protection locked="0"/>
    </xf>
    <xf numFmtId="175" fontId="13" fillId="0" borderId="39" xfId="1" applyFont="1" applyFill="1" applyBorder="1" applyAlignment="1" applyProtection="1">
      <alignment horizontal="right" vertical="center" wrapText="1"/>
      <protection locked="0"/>
    </xf>
    <xf numFmtId="178" fontId="1" fillId="0" borderId="35" xfId="1" applyNumberFormat="1" applyFont="1" applyFill="1" applyBorder="1" applyAlignment="1" applyProtection="1">
      <alignment horizontal="right" vertical="center"/>
      <protection locked="0"/>
    </xf>
    <xf numFmtId="176" fontId="18" fillId="6" borderId="39" xfId="2" applyNumberFormat="1" applyFont="1" applyFill="1" applyBorder="1" applyAlignment="1" applyProtection="1">
      <alignment horizontal="center" vertical="center"/>
      <protection locked="0"/>
    </xf>
    <xf numFmtId="4" fontId="18" fillId="0" borderId="39" xfId="0" applyNumberFormat="1" applyFont="1" applyBorder="1" applyAlignment="1" applyProtection="1">
      <alignment horizontal="right" vertical="center"/>
      <protection locked="0"/>
    </xf>
    <xf numFmtId="0" fontId="45" fillId="0" borderId="39" xfId="0" applyFont="1" applyBorder="1" applyAlignment="1" applyProtection="1">
      <alignment horizontal="center" vertical="center"/>
      <protection locked="0"/>
    </xf>
    <xf numFmtId="177" fontId="13" fillId="0" borderId="39" xfId="0" applyNumberFormat="1" applyFont="1" applyBorder="1" applyAlignment="1">
      <alignment horizontal="center" vertical="center" wrapText="1"/>
    </xf>
    <xf numFmtId="4" fontId="18" fillId="0" borderId="39" xfId="0" applyNumberFormat="1" applyFont="1" applyBorder="1" applyAlignment="1" applyProtection="1">
      <alignment horizontal="centerContinuous" vertical="center"/>
      <protection locked="0"/>
    </xf>
    <xf numFmtId="175" fontId="37" fillId="0" borderId="5" xfId="1" applyFont="1" applyBorder="1" applyAlignment="1" applyProtection="1">
      <alignment horizontal="left" vertical="center" wrapText="1"/>
      <protection locked="0"/>
    </xf>
    <xf numFmtId="175" fontId="37" fillId="0" borderId="39" xfId="1" applyFont="1" applyBorder="1" applyAlignment="1" applyProtection="1">
      <alignment horizontal="left" vertical="center" wrapText="1"/>
      <protection locked="0"/>
    </xf>
    <xf numFmtId="176" fontId="18" fillId="0" borderId="39" xfId="2" applyNumberFormat="1" applyFont="1" applyFill="1" applyBorder="1" applyAlignment="1" applyProtection="1">
      <alignment horizontal="center" vertical="center" wrapText="1"/>
      <protection locked="0"/>
    </xf>
    <xf numFmtId="176" fontId="18" fillId="0" borderId="39" xfId="2" applyNumberFormat="1" applyFont="1" applyFill="1" applyBorder="1" applyAlignment="1" applyProtection="1">
      <alignment horizontal="right" vertical="center"/>
      <protection locked="0"/>
    </xf>
    <xf numFmtId="176" fontId="42" fillId="0" borderId="39" xfId="2" applyNumberFormat="1" applyFont="1" applyFill="1" applyBorder="1" applyAlignment="1" applyProtection="1">
      <alignment horizontal="right" vertical="center"/>
      <protection locked="0"/>
    </xf>
    <xf numFmtId="173" fontId="18" fillId="6" borderId="36" xfId="4" applyNumberFormat="1" applyFont="1" applyFill="1" applyBorder="1" applyAlignment="1" applyProtection="1">
      <alignment horizontal="right" vertical="center"/>
      <protection locked="0"/>
    </xf>
    <xf numFmtId="3" fontId="18" fillId="0" borderId="16" xfId="6" applyNumberFormat="1" applyFont="1" applyBorder="1" applyAlignment="1" applyProtection="1">
      <alignment horizontal="right" vertical="center"/>
      <protection locked="0"/>
    </xf>
    <xf numFmtId="173" fontId="18" fillId="0" borderId="36" xfId="4" applyNumberFormat="1" applyFont="1" applyFill="1" applyBorder="1" applyAlignment="1" applyProtection="1">
      <alignment horizontal="right" vertical="center"/>
      <protection locked="0"/>
    </xf>
    <xf numFmtId="3" fontId="6" fillId="8" borderId="39" xfId="0" applyNumberFormat="1" applyFont="1" applyFill="1" applyBorder="1" applyProtection="1">
      <protection locked="0"/>
    </xf>
    <xf numFmtId="3" fontId="35" fillId="8" borderId="39" xfId="0" applyNumberFormat="1" applyFont="1" applyFill="1" applyBorder="1" applyAlignment="1" applyProtection="1">
      <alignment horizontal="center" vertical="center"/>
      <protection locked="0"/>
    </xf>
    <xf numFmtId="4" fontId="35" fillId="8" borderId="39" xfId="0" applyNumberFormat="1" applyFont="1" applyFill="1" applyBorder="1" applyAlignment="1" applyProtection="1">
      <alignment horizontal="center" vertical="center"/>
      <protection locked="0"/>
    </xf>
    <xf numFmtId="173" fontId="39" fillId="8" borderId="39" xfId="4" applyNumberFormat="1" applyFont="1" applyFill="1" applyBorder="1" applyAlignment="1" applyProtection="1">
      <alignment vertical="center" wrapText="1"/>
      <protection locked="0"/>
    </xf>
    <xf numFmtId="168" fontId="12" fillId="8" borderId="39" xfId="6" applyNumberFormat="1" applyFont="1" applyFill="1" applyBorder="1" applyAlignment="1" applyProtection="1">
      <alignment vertical="center"/>
      <protection locked="0"/>
    </xf>
    <xf numFmtId="4" fontId="18" fillId="8" borderId="39" xfId="0" applyNumberFormat="1" applyFont="1" applyFill="1" applyBorder="1" applyAlignment="1" applyProtection="1">
      <alignment horizontal="centerContinuous"/>
      <protection locked="0"/>
    </xf>
    <xf numFmtId="173" fontId="12" fillId="8" borderId="36" xfId="4" applyNumberFormat="1" applyFont="1" applyFill="1" applyBorder="1" applyAlignment="1" applyProtection="1">
      <alignment vertical="center"/>
      <protection locked="0"/>
    </xf>
    <xf numFmtId="4" fontId="42" fillId="0" borderId="39" xfId="0" applyNumberFormat="1" applyFont="1" applyBorder="1" applyAlignment="1" applyProtection="1">
      <alignment horizontal="right" vertical="center"/>
      <protection locked="0"/>
    </xf>
    <xf numFmtId="173" fontId="12" fillId="6" borderId="36" xfId="4" applyNumberFormat="1" applyFont="1" applyFill="1" applyBorder="1" applyAlignment="1" applyProtection="1">
      <alignment horizontal="right" vertical="center"/>
      <protection locked="0"/>
    </xf>
    <xf numFmtId="3" fontId="18" fillId="0" borderId="0" xfId="6" applyNumberFormat="1" applyFont="1" applyAlignment="1" applyProtection="1">
      <alignment horizontal="right" vertical="center"/>
      <protection locked="0"/>
    </xf>
    <xf numFmtId="4" fontId="18" fillId="8" borderId="39" xfId="0" applyNumberFormat="1" applyFont="1" applyFill="1" applyBorder="1" applyAlignment="1" applyProtection="1">
      <alignment horizontal="right" vertical="center"/>
      <protection locked="0"/>
    </xf>
    <xf numFmtId="173" fontId="12" fillId="8" borderId="36" xfId="4" applyNumberFormat="1" applyFont="1" applyFill="1" applyBorder="1" applyAlignment="1" applyProtection="1">
      <alignment horizontal="right" vertical="center"/>
      <protection locked="0"/>
    </xf>
    <xf numFmtId="179" fontId="6" fillId="0" borderId="0" xfId="0" applyNumberFormat="1" applyFont="1" applyProtection="1">
      <protection locked="0"/>
    </xf>
    <xf numFmtId="3" fontId="21" fillId="0" borderId="9" xfId="0" applyNumberFormat="1" applyFont="1" applyBorder="1" applyProtection="1">
      <protection locked="0"/>
    </xf>
    <xf numFmtId="0" fontId="29" fillId="0" borderId="0" xfId="8" applyFont="1" applyAlignment="1" applyProtection="1">
      <alignment horizontal="center" vertical="center"/>
      <protection locked="0"/>
    </xf>
    <xf numFmtId="166" fontId="29" fillId="0" borderId="0" xfId="4" applyFont="1" applyFill="1" applyBorder="1" applyAlignment="1" applyProtection="1">
      <alignment horizontal="center" vertical="center"/>
      <protection locked="0"/>
    </xf>
    <xf numFmtId="168" fontId="29" fillId="0" borderId="0" xfId="6" applyNumberFormat="1" applyFont="1" applyAlignment="1" applyProtection="1">
      <alignment vertical="center"/>
      <protection locked="0"/>
    </xf>
    <xf numFmtId="4" fontId="18" fillId="0" borderId="0" xfId="6" applyNumberFormat="1" applyFont="1" applyProtection="1">
      <protection locked="0"/>
    </xf>
    <xf numFmtId="166" fontId="18" fillId="0" borderId="0" xfId="4" applyFont="1" applyFill="1" applyBorder="1" applyProtection="1">
      <protection locked="0"/>
    </xf>
    <xf numFmtId="4" fontId="42" fillId="0" borderId="0" xfId="6" applyNumberFormat="1" applyFont="1" applyProtection="1">
      <protection locked="0"/>
    </xf>
    <xf numFmtId="173" fontId="18" fillId="0" borderId="0" xfId="4" applyNumberFormat="1" applyFont="1" applyFill="1" applyBorder="1" applyProtection="1">
      <protection locked="0"/>
    </xf>
    <xf numFmtId="3" fontId="18" fillId="0" borderId="0" xfId="6" applyNumberFormat="1" applyFont="1" applyAlignment="1" applyProtection="1">
      <alignment horizontal="center"/>
      <protection locked="0"/>
    </xf>
    <xf numFmtId="3" fontId="12" fillId="0" borderId="39" xfId="0" applyNumberFormat="1" applyFont="1" applyBorder="1" applyAlignment="1" applyProtection="1">
      <alignment horizontal="center"/>
      <protection locked="0"/>
    </xf>
    <xf numFmtId="166" fontId="12" fillId="0" borderId="39" xfId="4" applyFont="1" applyBorder="1" applyAlignment="1" applyProtection="1">
      <alignment horizontal="center"/>
      <protection locked="0"/>
    </xf>
    <xf numFmtId="3" fontId="47" fillId="0" borderId="39" xfId="0" applyNumberFormat="1" applyFont="1" applyBorder="1" applyAlignment="1" applyProtection="1">
      <alignment horizontal="center"/>
      <protection locked="0"/>
    </xf>
    <xf numFmtId="166" fontId="12" fillId="6" borderId="39" xfId="4" applyFont="1" applyFill="1" applyBorder="1" applyAlignment="1" applyProtection="1">
      <alignment horizontal="center"/>
      <protection locked="0"/>
    </xf>
    <xf numFmtId="0" fontId="18" fillId="0" borderId="39" xfId="0" applyFont="1" applyBorder="1" applyAlignment="1">
      <alignment horizontal="center" vertical="center"/>
    </xf>
    <xf numFmtId="3" fontId="43" fillId="0" borderId="39" xfId="0" applyNumberFormat="1" applyFont="1" applyBorder="1" applyAlignment="1" applyProtection="1">
      <alignment horizontal="center" vertical="center"/>
      <protection locked="0"/>
    </xf>
    <xf numFmtId="4" fontId="43" fillId="0" borderId="39" xfId="0" applyNumberFormat="1" applyFont="1" applyBorder="1" applyAlignment="1" applyProtection="1">
      <alignment horizontal="right" vertical="center"/>
      <protection locked="0"/>
    </xf>
    <xf numFmtId="167" fontId="18" fillId="0" borderId="39" xfId="3" applyFont="1" applyBorder="1" applyAlignment="1">
      <alignment horizontal="center" vertical="center"/>
    </xf>
    <xf numFmtId="4" fontId="42" fillId="0" borderId="39" xfId="0" applyNumberFormat="1" applyFont="1" applyBorder="1" applyAlignment="1" applyProtection="1">
      <alignment horizontal="centerContinuous"/>
      <protection locked="0"/>
    </xf>
    <xf numFmtId="174" fontId="18" fillId="0" borderId="35" xfId="6" applyNumberFormat="1" applyFont="1" applyBorder="1" applyAlignment="1" applyProtection="1">
      <alignment horizontal="center" vertical="center"/>
      <protection locked="0"/>
    </xf>
    <xf numFmtId="174" fontId="18" fillId="0" borderId="36" xfId="6" applyNumberFormat="1" applyFont="1" applyBorder="1" applyAlignment="1" applyProtection="1">
      <alignment horizontal="center" vertical="center"/>
      <protection locked="0"/>
    </xf>
    <xf numFmtId="4" fontId="21" fillId="0" borderId="0" xfId="0" applyNumberFormat="1" applyFont="1" applyProtection="1">
      <protection locked="0"/>
    </xf>
    <xf numFmtId="168" fontId="18" fillId="0" borderId="40" xfId="6" applyNumberFormat="1" applyFont="1" applyBorder="1" applyAlignment="1" applyProtection="1">
      <alignment vertical="center"/>
      <protection locked="0"/>
    </xf>
    <xf numFmtId="3" fontId="43" fillId="0" borderId="40" xfId="0" applyNumberFormat="1" applyFont="1" applyBorder="1" applyAlignment="1" applyProtection="1">
      <alignment horizontal="center" vertical="center"/>
      <protection locked="0"/>
    </xf>
    <xf numFmtId="4" fontId="18" fillId="0" borderId="39" xfId="0" applyNumberFormat="1" applyFont="1" applyBorder="1" applyAlignment="1" applyProtection="1">
      <alignment horizontal="center" vertical="center"/>
      <protection locked="0"/>
    </xf>
    <xf numFmtId="166" fontId="18" fillId="0" borderId="36" xfId="4" applyFont="1" applyFill="1" applyBorder="1" applyAlignment="1" applyProtection="1">
      <alignment vertical="center"/>
      <protection locked="0"/>
    </xf>
    <xf numFmtId="0" fontId="42" fillId="7" borderId="39" xfId="0" applyFont="1" applyFill="1" applyBorder="1" applyAlignment="1" applyProtection="1">
      <alignment horizontal="left" vertical="center"/>
      <protection locked="0"/>
    </xf>
    <xf numFmtId="0" fontId="12" fillId="7" borderId="39" xfId="8" applyFont="1" applyFill="1" applyBorder="1" applyAlignment="1" applyProtection="1">
      <alignment horizontal="center" vertical="center"/>
      <protection locked="0"/>
    </xf>
    <xf numFmtId="4" fontId="12" fillId="7" borderId="39" xfId="8" applyNumberFormat="1" applyFont="1" applyFill="1" applyBorder="1" applyAlignment="1" applyProtection="1">
      <alignment horizontal="right" vertical="center"/>
      <protection locked="0"/>
    </xf>
    <xf numFmtId="166" fontId="12" fillId="7" borderId="39" xfId="4" applyFont="1" applyFill="1" applyBorder="1" applyAlignment="1" applyProtection="1">
      <alignment vertical="center"/>
      <protection locked="0"/>
    </xf>
    <xf numFmtId="168" fontId="12" fillId="7" borderId="39" xfId="6" applyNumberFormat="1" applyFont="1" applyFill="1" applyBorder="1" applyAlignment="1" applyProtection="1">
      <alignment vertical="center"/>
      <protection locked="0"/>
    </xf>
    <xf numFmtId="4" fontId="42" fillId="0" borderId="39" xfId="0" applyNumberFormat="1" applyFont="1" applyBorder="1" applyAlignment="1" applyProtection="1">
      <alignment horizontal="center" vertical="center"/>
      <protection locked="0"/>
    </xf>
    <xf numFmtId="4" fontId="12" fillId="0" borderId="39" xfId="0" applyNumberFormat="1" applyFont="1" applyBorder="1" applyAlignment="1" applyProtection="1">
      <alignment horizontal="center" vertical="center"/>
      <protection locked="0"/>
    </xf>
    <xf numFmtId="173" fontId="12" fillId="0" borderId="36" xfId="4" applyNumberFormat="1" applyFont="1" applyFill="1" applyBorder="1" applyAlignment="1" applyProtection="1">
      <alignment vertical="center"/>
      <protection locked="0"/>
    </xf>
    <xf numFmtId="0" fontId="13" fillId="0" borderId="9" xfId="0" applyFont="1" applyBorder="1" applyAlignment="1" applyProtection="1">
      <alignment horizontal="left" vertical="center"/>
      <protection locked="0"/>
    </xf>
    <xf numFmtId="4" fontId="29" fillId="0" borderId="0" xfId="8" applyNumberFormat="1" applyFont="1" applyAlignment="1" applyProtection="1">
      <alignment horizontal="right" vertical="center"/>
      <protection locked="0"/>
    </xf>
    <xf numFmtId="166" fontId="29" fillId="0" borderId="0" xfId="4" applyFont="1" applyFill="1" applyBorder="1" applyAlignment="1" applyProtection="1">
      <alignment vertical="center"/>
      <protection locked="0"/>
    </xf>
    <xf numFmtId="4" fontId="12" fillId="0" borderId="0" xfId="0" applyNumberFormat="1" applyFont="1" applyAlignment="1" applyProtection="1">
      <alignment horizontal="center" vertical="center"/>
      <protection locked="0"/>
    </xf>
    <xf numFmtId="166" fontId="12" fillId="0" borderId="0" xfId="4" applyFont="1" applyFill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horizontal="center" vertical="center"/>
      <protection locked="0"/>
    </xf>
    <xf numFmtId="166" fontId="12" fillId="6" borderId="0" xfId="4" applyFont="1" applyFill="1" applyBorder="1" applyAlignment="1" applyProtection="1">
      <alignment vertical="center"/>
      <protection locked="0"/>
    </xf>
    <xf numFmtId="173" fontId="18" fillId="0" borderId="0" xfId="4" applyNumberFormat="1" applyFont="1" applyFill="1" applyBorder="1" applyAlignment="1" applyProtection="1">
      <alignment vertical="center"/>
      <protection locked="0"/>
    </xf>
    <xf numFmtId="174" fontId="18" fillId="0" borderId="0" xfId="6" applyNumberFormat="1" applyFont="1" applyAlignment="1" applyProtection="1">
      <alignment horizontal="center" vertical="center"/>
      <protection locked="0"/>
    </xf>
    <xf numFmtId="173" fontId="35" fillId="0" borderId="39" xfId="4" applyNumberFormat="1" applyFont="1" applyFill="1" applyBorder="1" applyAlignment="1" applyProtection="1">
      <alignment horizontal="center"/>
      <protection locked="0"/>
    </xf>
    <xf numFmtId="166" fontId="18" fillId="6" borderId="0" xfId="4" applyFont="1" applyFill="1" applyBorder="1" applyProtection="1">
      <protection locked="0"/>
    </xf>
    <xf numFmtId="0" fontId="49" fillId="8" borderId="39" xfId="8" applyFont="1" applyFill="1" applyBorder="1" applyAlignment="1" applyProtection="1">
      <alignment horizontal="center" vertical="center" wrapText="1"/>
      <protection locked="0"/>
    </xf>
    <xf numFmtId="3" fontId="36" fillId="8" borderId="39" xfId="0" applyNumberFormat="1" applyFont="1" applyFill="1" applyBorder="1" applyAlignment="1" applyProtection="1">
      <alignment horizontal="center" vertical="center"/>
      <protection locked="0"/>
    </xf>
    <xf numFmtId="4" fontId="29" fillId="8" borderId="39" xfId="0" applyNumberFormat="1" applyFont="1" applyFill="1" applyBorder="1" applyAlignment="1" applyProtection="1">
      <alignment horizontal="center" vertical="center"/>
      <protection locked="0"/>
    </xf>
    <xf numFmtId="173" fontId="29" fillId="8" borderId="39" xfId="4" applyNumberFormat="1" applyFont="1" applyFill="1" applyBorder="1" applyAlignment="1" applyProtection="1">
      <alignment horizontal="center" vertical="center"/>
      <protection locked="0"/>
    </xf>
    <xf numFmtId="4" fontId="12" fillId="0" borderId="35" xfId="0" applyNumberFormat="1" applyFont="1" applyBorder="1" applyAlignment="1" applyProtection="1">
      <alignment horizontal="center" vertical="center"/>
      <protection locked="0"/>
    </xf>
    <xf numFmtId="166" fontId="12" fillId="0" borderId="39" xfId="4" applyFont="1" applyFill="1" applyBorder="1" applyAlignment="1" applyProtection="1">
      <alignment horizontal="center" vertical="center"/>
      <protection locked="0"/>
    </xf>
    <xf numFmtId="3" fontId="12" fillId="0" borderId="0" xfId="6" applyNumberFormat="1" applyFont="1" applyAlignment="1" applyProtection="1">
      <alignment horizontal="center" vertical="center"/>
      <protection locked="0"/>
    </xf>
    <xf numFmtId="4" fontId="47" fillId="0" borderId="35" xfId="0" applyNumberFormat="1" applyFont="1" applyBorder="1" applyAlignment="1" applyProtection="1">
      <alignment horizontal="center" vertical="center"/>
      <protection locked="0"/>
    </xf>
    <xf numFmtId="166" fontId="12" fillId="6" borderId="39" xfId="4" applyFont="1" applyFill="1" applyBorder="1" applyAlignment="1" applyProtection="1">
      <alignment horizontal="center" vertical="center"/>
      <protection locked="0"/>
    </xf>
    <xf numFmtId="3" fontId="12" fillId="0" borderId="16" xfId="6" applyNumberFormat="1" applyFont="1" applyBorder="1" applyAlignment="1" applyProtection="1">
      <alignment horizontal="center" vertical="center"/>
      <protection locked="0"/>
    </xf>
    <xf numFmtId="173" fontId="12" fillId="0" borderId="36" xfId="4" applyNumberFormat="1" applyFont="1" applyFill="1" applyBorder="1" applyAlignment="1" applyProtection="1">
      <alignment horizontal="center" vertical="center"/>
      <protection locked="0"/>
    </xf>
    <xf numFmtId="3" fontId="36" fillId="8" borderId="39" xfId="0" applyNumberFormat="1" applyFont="1" applyFill="1" applyBorder="1" applyAlignment="1" applyProtection="1">
      <alignment vertical="center"/>
      <protection locked="0"/>
    </xf>
    <xf numFmtId="4" fontId="29" fillId="8" borderId="39" xfId="0" applyNumberFormat="1" applyFont="1" applyFill="1" applyBorder="1" applyAlignment="1" applyProtection="1">
      <alignment vertical="center"/>
      <protection locked="0"/>
    </xf>
    <xf numFmtId="173" fontId="29" fillId="8" borderId="39" xfId="4" applyNumberFormat="1" applyFont="1" applyFill="1" applyBorder="1" applyAlignment="1" applyProtection="1">
      <alignment vertical="center"/>
      <protection locked="0"/>
    </xf>
    <xf numFmtId="168" fontId="29" fillId="8" borderId="39" xfId="6" applyNumberFormat="1" applyFont="1" applyFill="1" applyBorder="1" applyAlignment="1" applyProtection="1">
      <alignment vertical="center"/>
      <protection locked="0"/>
    </xf>
    <xf numFmtId="4" fontId="12" fillId="0" borderId="35" xfId="0" applyNumberFormat="1" applyFont="1" applyBorder="1" applyAlignment="1" applyProtection="1">
      <alignment horizontal="centerContinuous"/>
      <protection locked="0"/>
    </xf>
    <xf numFmtId="166" fontId="18" fillId="0" borderId="39" xfId="4" applyFont="1" applyFill="1" applyBorder="1" applyAlignment="1" applyProtection="1">
      <alignment vertical="center"/>
      <protection locked="0"/>
    </xf>
    <xf numFmtId="4" fontId="47" fillId="0" borderId="35" xfId="0" applyNumberFormat="1" applyFont="1" applyBorder="1" applyAlignment="1" applyProtection="1">
      <alignment horizontal="centerContinuous"/>
      <protection locked="0"/>
    </xf>
    <xf numFmtId="166" fontId="18" fillId="6" borderId="39" xfId="4" applyFont="1" applyFill="1" applyBorder="1" applyAlignment="1" applyProtection="1">
      <alignment vertical="center"/>
      <protection locked="0"/>
    </xf>
    <xf numFmtId="0" fontId="50" fillId="0" borderId="39" xfId="0" applyFont="1" applyBorder="1" applyAlignment="1" applyProtection="1">
      <alignment horizontal="center" vertical="center" wrapText="1"/>
      <protection locked="0"/>
    </xf>
    <xf numFmtId="175" fontId="18" fillId="0" borderId="35" xfId="1" applyFont="1" applyFill="1" applyBorder="1" applyAlignment="1" applyProtection="1">
      <alignment vertical="center"/>
      <protection locked="0"/>
    </xf>
    <xf numFmtId="175" fontId="42" fillId="0" borderId="35" xfId="1" applyFont="1" applyFill="1" applyBorder="1" applyAlignment="1" applyProtection="1">
      <alignment vertical="center"/>
      <protection locked="0"/>
    </xf>
    <xf numFmtId="0" fontId="46" fillId="0" borderId="39" xfId="8" applyFont="1" applyBorder="1" applyAlignment="1" applyProtection="1">
      <alignment horizontal="center" vertical="center" wrapText="1"/>
      <protection locked="0"/>
    </xf>
    <xf numFmtId="49" fontId="46" fillId="0" borderId="39" xfId="9" applyFont="1" applyFill="1" applyBorder="1" applyAlignment="1" applyProtection="1">
      <alignment horizontal="center" vertical="center" wrapText="1"/>
      <protection locked="0"/>
    </xf>
    <xf numFmtId="173" fontId="1" fillId="0" borderId="39" xfId="4" applyNumberFormat="1" applyFont="1" applyFill="1" applyBorder="1" applyProtection="1">
      <protection locked="0"/>
    </xf>
    <xf numFmtId="0" fontId="52" fillId="0" borderId="39" xfId="0" applyFont="1" applyBorder="1" applyAlignment="1" applyProtection="1">
      <alignment horizontal="center" vertical="center" wrapText="1"/>
      <protection locked="0"/>
    </xf>
    <xf numFmtId="173" fontId="18" fillId="0" borderId="39" xfId="4" applyNumberFormat="1" applyFont="1" applyFill="1" applyBorder="1" applyAlignment="1" applyProtection="1">
      <alignment vertical="center"/>
      <protection locked="0"/>
    </xf>
    <xf numFmtId="0" fontId="46" fillId="0" borderId="39" xfId="8" applyFont="1" applyBorder="1" applyAlignment="1" applyProtection="1">
      <alignment horizontal="center" vertical="center"/>
      <protection locked="0"/>
    </xf>
    <xf numFmtId="0" fontId="50" fillId="0" borderId="39" xfId="0" applyFont="1" applyBorder="1" applyAlignment="1" applyProtection="1">
      <alignment horizontal="center" vertical="center"/>
      <protection locked="0"/>
    </xf>
    <xf numFmtId="0" fontId="46" fillId="0" borderId="35" xfId="8" applyFont="1" applyBorder="1" applyAlignment="1" applyProtection="1">
      <alignment horizontal="center" vertical="center"/>
      <protection locked="0"/>
    </xf>
    <xf numFmtId="0" fontId="49" fillId="0" borderId="39" xfId="8" applyFont="1" applyBorder="1" applyAlignment="1" applyProtection="1">
      <alignment horizontal="center" vertical="center" wrapText="1"/>
      <protection locked="0"/>
    </xf>
    <xf numFmtId="0" fontId="46" fillId="0" borderId="35" xfId="8" applyFont="1" applyBorder="1" applyAlignment="1" applyProtection="1">
      <alignment horizontal="center" vertical="center" wrapText="1"/>
      <protection locked="0"/>
    </xf>
    <xf numFmtId="49" fontId="54" fillId="0" borderId="39" xfId="9" applyFont="1" applyFill="1" applyBorder="1" applyAlignment="1" applyProtection="1">
      <alignment horizontal="center" vertical="center"/>
      <protection locked="0"/>
    </xf>
    <xf numFmtId="0" fontId="52" fillId="0" borderId="39" xfId="0" applyFont="1" applyBorder="1" applyAlignment="1" applyProtection="1">
      <alignment horizontal="center" vertical="center"/>
      <protection locked="0"/>
    </xf>
    <xf numFmtId="173" fontId="21" fillId="0" borderId="0" xfId="4" applyNumberFormat="1" applyFont="1" applyFill="1" applyBorder="1" applyProtection="1">
      <protection locked="0"/>
    </xf>
    <xf numFmtId="0" fontId="13" fillId="0" borderId="39" xfId="0" applyFont="1" applyBorder="1" applyAlignment="1" applyProtection="1">
      <alignment horizontal="center" vertical="center" wrapText="1"/>
      <protection locked="0"/>
    </xf>
    <xf numFmtId="0" fontId="50" fillId="0" borderId="35" xfId="0" applyFont="1" applyBorder="1" applyAlignment="1" applyProtection="1">
      <alignment horizontal="center" vertical="center" wrapText="1"/>
      <protection locked="0"/>
    </xf>
    <xf numFmtId="173" fontId="1" fillId="0" borderId="39" xfId="4" applyNumberFormat="1" applyFont="1" applyFill="1" applyBorder="1" applyAlignment="1" applyProtection="1">
      <alignment vertical="center"/>
      <protection locked="0"/>
    </xf>
    <xf numFmtId="175" fontId="18" fillId="0" borderId="0" xfId="1" applyFont="1" applyFill="1" applyBorder="1" applyAlignment="1" applyProtection="1">
      <alignment vertical="center"/>
      <protection locked="0"/>
    </xf>
    <xf numFmtId="0" fontId="35" fillId="8" borderId="5" xfId="8" applyFont="1" applyFill="1" applyBorder="1" applyAlignment="1" applyProtection="1">
      <alignment horizontal="left" vertical="center"/>
      <protection locked="0"/>
    </xf>
    <xf numFmtId="0" fontId="35" fillId="8" borderId="36" xfId="8" applyFont="1" applyFill="1" applyBorder="1" applyAlignment="1" applyProtection="1">
      <alignment horizontal="left" vertical="center"/>
      <protection locked="0"/>
    </xf>
    <xf numFmtId="173" fontId="45" fillId="8" borderId="39" xfId="4" applyNumberFormat="1" applyFont="1" applyFill="1" applyBorder="1" applyAlignment="1" applyProtection="1">
      <alignment vertical="center" wrapText="1"/>
      <protection locked="0"/>
    </xf>
    <xf numFmtId="173" fontId="35" fillId="8" borderId="39" xfId="4" applyNumberFormat="1" applyFont="1" applyFill="1" applyBorder="1" applyAlignment="1" applyProtection="1">
      <alignment horizontal="center" vertical="center"/>
      <protection locked="0"/>
    </xf>
    <xf numFmtId="0" fontId="12" fillId="8" borderId="39" xfId="8" applyFont="1" applyFill="1" applyBorder="1" applyAlignment="1" applyProtection="1">
      <alignment horizontal="left" vertical="center"/>
      <protection locked="0"/>
    </xf>
    <xf numFmtId="173" fontId="48" fillId="8" borderId="39" xfId="4" applyNumberFormat="1" applyFont="1" applyFill="1" applyBorder="1" applyAlignment="1" applyProtection="1">
      <alignment horizontal="center" vertical="center"/>
      <protection locked="0"/>
    </xf>
    <xf numFmtId="0" fontId="47" fillId="0" borderId="39" xfId="8" applyFont="1" applyBorder="1" applyAlignment="1" applyProtection="1">
      <alignment horizontal="left" vertical="center"/>
      <protection locked="0"/>
    </xf>
    <xf numFmtId="3" fontId="48" fillId="8" borderId="39" xfId="0" applyNumberFormat="1" applyFont="1" applyFill="1" applyBorder="1" applyAlignment="1" applyProtection="1">
      <alignment horizontal="center" vertical="center"/>
      <protection locked="0"/>
    </xf>
    <xf numFmtId="3" fontId="1" fillId="6" borderId="16" xfId="6" applyNumberFormat="1" applyFont="1" applyFill="1" applyBorder="1" applyProtection="1">
      <protection locked="0"/>
    </xf>
    <xf numFmtId="3" fontId="6" fillId="0" borderId="9" xfId="0" applyNumberFormat="1" applyFont="1" applyBorder="1" applyProtection="1">
      <protection locked="0"/>
    </xf>
    <xf numFmtId="0" fontId="29" fillId="0" borderId="0" xfId="8" applyFont="1" applyAlignment="1" applyProtection="1">
      <alignment horizontal="left" vertical="center"/>
      <protection locked="0"/>
    </xf>
    <xf numFmtId="173" fontId="39" fillId="0" borderId="0" xfId="4" applyNumberFormat="1" applyFont="1" applyFill="1" applyBorder="1" applyAlignment="1" applyProtection="1">
      <alignment vertical="center" wrapText="1"/>
      <protection locked="0"/>
    </xf>
    <xf numFmtId="173" fontId="35" fillId="0" borderId="0" xfId="4" applyNumberFormat="1" applyFont="1" applyFill="1" applyBorder="1" applyAlignment="1" applyProtection="1">
      <alignment horizontal="center" vertical="center"/>
      <protection locked="0"/>
    </xf>
    <xf numFmtId="0" fontId="12" fillId="0" borderId="0" xfId="8" applyFont="1" applyAlignment="1" applyProtection="1">
      <alignment horizontal="left" vertical="center"/>
      <protection locked="0"/>
    </xf>
    <xf numFmtId="173" fontId="48" fillId="0" borderId="0" xfId="4" applyNumberFormat="1" applyFont="1" applyFill="1" applyBorder="1" applyAlignment="1" applyProtection="1">
      <alignment horizontal="center" vertical="center"/>
      <protection locked="0"/>
    </xf>
    <xf numFmtId="0" fontId="47" fillId="0" borderId="0" xfId="8" applyFont="1" applyAlignment="1" applyProtection="1">
      <alignment horizontal="left" vertical="center"/>
      <protection locked="0"/>
    </xf>
    <xf numFmtId="3" fontId="48" fillId="0" borderId="0" xfId="0" applyNumberFormat="1" applyFont="1" applyAlignment="1" applyProtection="1">
      <alignment horizontal="center" vertical="center"/>
      <protection locked="0"/>
    </xf>
    <xf numFmtId="3" fontId="1" fillId="0" borderId="16" xfId="6" applyNumberFormat="1" applyFont="1" applyBorder="1" applyProtection="1">
      <protection locked="0"/>
    </xf>
    <xf numFmtId="3" fontId="34" fillId="3" borderId="43" xfId="0" applyNumberFormat="1" applyFont="1" applyFill="1" applyBorder="1" applyAlignment="1" applyProtection="1">
      <alignment horizontal="center" vertical="center"/>
      <protection locked="0"/>
    </xf>
    <xf numFmtId="175" fontId="18" fillId="0" borderId="39" xfId="1" applyFont="1" applyBorder="1" applyAlignment="1" applyProtection="1">
      <alignment horizontal="centerContinuous"/>
      <protection locked="0"/>
    </xf>
    <xf numFmtId="175" fontId="18" fillId="0" borderId="36" xfId="1" applyFont="1" applyFill="1" applyBorder="1" applyAlignment="1" applyProtection="1">
      <alignment vertical="center"/>
      <protection locked="0"/>
    </xf>
    <xf numFmtId="175" fontId="42" fillId="0" borderId="39" xfId="1" applyFont="1" applyFill="1" applyBorder="1" applyAlignment="1" applyProtection="1">
      <alignment horizontal="right" vertical="center"/>
      <protection locked="0"/>
    </xf>
    <xf numFmtId="175" fontId="18" fillId="6" borderId="36" xfId="1" applyFont="1" applyFill="1" applyBorder="1" applyAlignment="1" applyProtection="1">
      <alignment horizontal="right" vertical="center"/>
      <protection locked="0"/>
    </xf>
    <xf numFmtId="175" fontId="18" fillId="0" borderId="36" xfId="1" applyFont="1" applyFill="1" applyBorder="1" applyAlignment="1" applyProtection="1">
      <alignment horizontal="right" vertical="center"/>
      <protection locked="0"/>
    </xf>
    <xf numFmtId="175" fontId="18" fillId="0" borderId="39" xfId="1" applyFont="1" applyFill="1" applyBorder="1" applyAlignment="1" applyProtection="1">
      <alignment horizontal="centerContinuous"/>
      <protection locked="0"/>
    </xf>
    <xf numFmtId="0" fontId="13" fillId="0" borderId="39" xfId="0" applyFont="1" applyBorder="1" applyAlignment="1" applyProtection="1">
      <alignment horizontal="left" vertical="center"/>
      <protection locked="0"/>
    </xf>
    <xf numFmtId="0" fontId="29" fillId="0" borderId="39" xfId="8" applyFont="1" applyBorder="1" applyAlignment="1" applyProtection="1">
      <alignment horizontal="center" vertical="center"/>
      <protection locked="0"/>
    </xf>
    <xf numFmtId="4" fontId="29" fillId="0" borderId="39" xfId="8" applyNumberFormat="1" applyFont="1" applyBorder="1" applyAlignment="1" applyProtection="1">
      <alignment horizontal="right" vertical="center"/>
      <protection locked="0"/>
    </xf>
    <xf numFmtId="166" fontId="29" fillId="0" borderId="39" xfId="4" applyFont="1" applyFill="1" applyBorder="1" applyAlignment="1" applyProtection="1">
      <alignment vertical="center"/>
      <protection locked="0"/>
    </xf>
    <xf numFmtId="168" fontId="29" fillId="7" borderId="39" xfId="6" applyNumberFormat="1" applyFont="1" applyFill="1" applyBorder="1" applyAlignment="1" applyProtection="1">
      <alignment vertical="center"/>
      <protection locked="0"/>
    </xf>
    <xf numFmtId="175" fontId="18" fillId="0" borderId="39" xfId="1" applyFont="1" applyBorder="1" applyAlignment="1" applyProtection="1">
      <alignment horizontal="center" vertical="center"/>
      <protection locked="0"/>
    </xf>
    <xf numFmtId="175" fontId="12" fillId="7" borderId="36" xfId="1" applyFont="1" applyFill="1" applyBorder="1" applyAlignment="1" applyProtection="1">
      <alignment vertical="center"/>
      <protection locked="0"/>
    </xf>
    <xf numFmtId="175" fontId="47" fillId="0" borderId="39" xfId="1" applyFont="1" applyFill="1" applyBorder="1" applyAlignment="1" applyProtection="1">
      <alignment horizontal="center" vertical="center"/>
      <protection locked="0"/>
    </xf>
    <xf numFmtId="175" fontId="12" fillId="0" borderId="36" xfId="1" applyFont="1" applyFill="1" applyBorder="1" applyAlignment="1" applyProtection="1">
      <alignment vertical="center"/>
      <protection locked="0"/>
    </xf>
    <xf numFmtId="175" fontId="12" fillId="0" borderId="39" xfId="1" applyFont="1" applyBorder="1" applyAlignment="1" applyProtection="1">
      <alignment horizontal="center" vertical="center"/>
      <protection locked="0"/>
    </xf>
    <xf numFmtId="49" fontId="46" fillId="6" borderId="39" xfId="9" applyFont="1" applyFill="1" applyBorder="1" applyAlignment="1" applyProtection="1">
      <alignment horizontal="center" vertical="center" wrapText="1"/>
      <protection locked="0"/>
    </xf>
    <xf numFmtId="175" fontId="1" fillId="6" borderId="35" xfId="1" applyFont="1" applyFill="1" applyBorder="1" applyAlignment="1" applyProtection="1">
      <alignment horizontal="right" vertical="center"/>
      <protection locked="0"/>
    </xf>
    <xf numFmtId="173" fontId="1" fillId="6" borderId="35" xfId="4" applyNumberFormat="1" applyFont="1" applyFill="1" applyBorder="1" applyAlignment="1" applyProtection="1">
      <alignment vertical="center"/>
      <protection locked="0"/>
    </xf>
    <xf numFmtId="168" fontId="1" fillId="6" borderId="39" xfId="6" applyNumberFormat="1" applyFont="1" applyFill="1" applyBorder="1" applyAlignment="1" applyProtection="1">
      <alignment vertical="center"/>
      <protection locked="0"/>
    </xf>
    <xf numFmtId="3" fontId="1" fillId="6" borderId="0" xfId="6" applyNumberFormat="1" applyFont="1" applyFill="1" applyAlignment="1" applyProtection="1">
      <alignment vertical="center"/>
      <protection locked="0"/>
    </xf>
    <xf numFmtId="173" fontId="18" fillId="0" borderId="35" xfId="4" applyNumberFormat="1" applyFont="1" applyFill="1" applyBorder="1" applyAlignment="1" applyProtection="1">
      <alignment vertical="center"/>
      <protection locked="0"/>
    </xf>
    <xf numFmtId="180" fontId="21" fillId="0" borderId="0" xfId="0" applyNumberFormat="1" applyFont="1" applyProtection="1">
      <protection locked="0"/>
    </xf>
    <xf numFmtId="0" fontId="29" fillId="8" borderId="5" xfId="8" applyFont="1" applyFill="1" applyBorder="1" applyAlignment="1" applyProtection="1">
      <alignment horizontal="left" vertical="center"/>
      <protection locked="0"/>
    </xf>
    <xf numFmtId="0" fontId="29" fillId="8" borderId="36" xfId="8" applyFont="1" applyFill="1" applyBorder="1" applyAlignment="1" applyProtection="1">
      <alignment horizontal="left" vertical="center"/>
      <protection locked="0"/>
    </xf>
    <xf numFmtId="173" fontId="48" fillId="0" borderId="39" xfId="4" applyNumberFormat="1" applyFont="1" applyFill="1" applyBorder="1" applyAlignment="1" applyProtection="1">
      <alignment horizontal="center" vertical="center"/>
      <protection locked="0"/>
    </xf>
    <xf numFmtId="3" fontId="12" fillId="0" borderId="39" xfId="0" applyNumberFormat="1" applyFont="1" applyBorder="1" applyAlignment="1" applyProtection="1">
      <alignment horizontal="center" vertical="center"/>
      <protection locked="0"/>
    </xf>
    <xf numFmtId="166" fontId="12" fillId="0" borderId="39" xfId="4" applyFont="1" applyBorder="1" applyAlignment="1" applyProtection="1">
      <alignment horizontal="center" vertical="center"/>
      <protection locked="0"/>
    </xf>
    <xf numFmtId="3" fontId="47" fillId="0" borderId="39" xfId="0" applyNumberFormat="1" applyFont="1" applyBorder="1" applyAlignment="1" applyProtection="1">
      <alignment horizontal="center" vertical="center"/>
      <protection locked="0"/>
    </xf>
    <xf numFmtId="3" fontId="12" fillId="0" borderId="35" xfId="0" applyNumberFormat="1" applyFont="1" applyBorder="1" applyAlignment="1" applyProtection="1">
      <alignment horizontal="center" vertical="center"/>
      <protection locked="0"/>
    </xf>
    <xf numFmtId="3" fontId="12" fillId="0" borderId="36" xfId="0" applyNumberFormat="1" applyFont="1" applyBorder="1" applyAlignment="1" applyProtection="1">
      <alignment horizontal="center" vertical="center"/>
      <protection locked="0"/>
    </xf>
    <xf numFmtId="4" fontId="55" fillId="0" borderId="0" xfId="0" applyNumberFormat="1" applyFont="1" applyProtection="1">
      <protection locked="0"/>
    </xf>
    <xf numFmtId="4" fontId="0" fillId="0" borderId="39" xfId="0" applyNumberFormat="1" applyBorder="1" applyProtection="1">
      <protection locked="0"/>
    </xf>
    <xf numFmtId="181" fontId="44" fillId="0" borderId="0" xfId="0" applyNumberFormat="1" applyFont="1" applyProtection="1">
      <protection locked="0"/>
    </xf>
    <xf numFmtId="175" fontId="56" fillId="0" borderId="39" xfId="1" applyFont="1" applyFill="1" applyBorder="1" applyAlignment="1" applyProtection="1">
      <alignment vertical="center"/>
      <protection locked="0"/>
    </xf>
    <xf numFmtId="0" fontId="29" fillId="8" borderId="39" xfId="8" applyFont="1" applyFill="1" applyBorder="1" applyAlignment="1" applyProtection="1">
      <alignment horizontal="left" vertical="center"/>
      <protection locked="0"/>
    </xf>
    <xf numFmtId="0" fontId="36" fillId="0" borderId="39" xfId="8" applyFont="1" applyBorder="1" applyAlignment="1" applyProtection="1">
      <alignment horizontal="left" vertical="center"/>
      <protection locked="0"/>
    </xf>
    <xf numFmtId="3" fontId="29" fillId="0" borderId="5" xfId="6" applyNumberFormat="1" applyFont="1" applyBorder="1" applyAlignment="1" applyProtection="1">
      <alignment horizontal="centerContinuous" vertical="center"/>
      <protection locked="0"/>
    </xf>
    <xf numFmtId="3" fontId="13" fillId="0" borderId="5" xfId="6" applyNumberFormat="1" applyFont="1" applyBorder="1" applyAlignment="1" applyProtection="1">
      <alignment horizontal="center" vertical="center"/>
      <protection locked="0"/>
    </xf>
    <xf numFmtId="4" fontId="1" fillId="0" borderId="5" xfId="6" applyNumberFormat="1" applyFont="1" applyBorder="1" applyAlignment="1" applyProtection="1">
      <alignment horizontal="right" vertical="center"/>
      <protection locked="0"/>
    </xf>
    <xf numFmtId="166" fontId="1" fillId="0" borderId="5" xfId="4" applyFont="1" applyBorder="1" applyAlignment="1" applyProtection="1">
      <alignment horizontal="centerContinuous" vertical="center"/>
      <protection locked="0"/>
    </xf>
    <xf numFmtId="173" fontId="29" fillId="0" borderId="39" xfId="4" applyNumberFormat="1" applyFont="1" applyFill="1" applyBorder="1" applyAlignment="1" applyProtection="1">
      <alignment vertical="center"/>
      <protection locked="0"/>
    </xf>
    <xf numFmtId="4" fontId="1" fillId="0" borderId="39" xfId="6" applyNumberFormat="1" applyFont="1" applyBorder="1" applyAlignment="1" applyProtection="1">
      <alignment horizontal="center" vertical="center"/>
      <protection locked="0"/>
    </xf>
    <xf numFmtId="4" fontId="13" fillId="0" borderId="39" xfId="6" applyNumberFormat="1" applyFont="1" applyBorder="1" applyAlignment="1" applyProtection="1">
      <alignment horizontal="center" vertical="center"/>
      <protection locked="0"/>
    </xf>
    <xf numFmtId="0" fontId="29" fillId="9" borderId="39" xfId="4" applyNumberFormat="1" applyFont="1" applyFill="1" applyBorder="1" applyAlignment="1" applyProtection="1">
      <alignment vertical="center"/>
      <protection locked="0"/>
    </xf>
    <xf numFmtId="173" fontId="29" fillId="0" borderId="39" xfId="6" applyNumberFormat="1" applyFont="1" applyBorder="1" applyAlignment="1" applyProtection="1">
      <alignment vertical="center"/>
      <protection locked="0"/>
    </xf>
    <xf numFmtId="173" fontId="29" fillId="9" borderId="39" xfId="4" applyNumberFormat="1" applyFont="1" applyFill="1" applyBorder="1" applyAlignment="1" applyProtection="1">
      <alignment vertical="center"/>
      <protection locked="0"/>
    </xf>
    <xf numFmtId="3" fontId="29" fillId="0" borderId="0" xfId="6" applyNumberFormat="1" applyFont="1" applyAlignment="1" applyProtection="1">
      <alignment vertical="center"/>
      <protection locked="0"/>
    </xf>
    <xf numFmtId="173" fontId="29" fillId="0" borderId="36" xfId="4" applyNumberFormat="1" applyFont="1" applyFill="1" applyBorder="1" applyAlignment="1" applyProtection="1">
      <alignment vertical="center"/>
      <protection locked="0"/>
    </xf>
    <xf numFmtId="3" fontId="26" fillId="0" borderId="39" xfId="0" applyNumberFormat="1" applyFont="1" applyBorder="1" applyProtection="1">
      <protection locked="0"/>
    </xf>
    <xf numFmtId="3" fontId="29" fillId="0" borderId="39" xfId="6" applyNumberFormat="1" applyFont="1" applyBorder="1" applyAlignment="1" applyProtection="1">
      <alignment vertical="center"/>
      <protection locked="0"/>
    </xf>
    <xf numFmtId="173" fontId="29" fillId="9" borderId="36" xfId="4" applyNumberFormat="1" applyFont="1" applyFill="1" applyBorder="1" applyAlignment="1" applyProtection="1">
      <alignment vertical="center"/>
      <protection locked="0"/>
    </xf>
    <xf numFmtId="3" fontId="29" fillId="0" borderId="9" xfId="6" applyNumberFormat="1" applyFont="1" applyBorder="1" applyAlignment="1" applyProtection="1">
      <alignment vertical="center"/>
      <protection locked="0"/>
    </xf>
    <xf numFmtId="3" fontId="29" fillId="0" borderId="0" xfId="6" applyNumberFormat="1" applyFont="1" applyAlignment="1" applyProtection="1">
      <alignment horizontal="centerContinuous" vertical="center"/>
      <protection locked="0"/>
    </xf>
    <xf numFmtId="3" fontId="13" fillId="0" borderId="0" xfId="6" applyNumberFormat="1" applyFont="1" applyAlignment="1" applyProtection="1">
      <alignment horizontal="center" vertical="center"/>
      <protection locked="0"/>
    </xf>
    <xf numFmtId="4" fontId="1" fillId="0" borderId="0" xfId="6" applyNumberFormat="1" applyFont="1" applyAlignment="1" applyProtection="1">
      <alignment horizontal="right" vertical="center"/>
      <protection locked="0"/>
    </xf>
    <xf numFmtId="166" fontId="1" fillId="0" borderId="0" xfId="4" applyFont="1" applyFill="1" applyBorder="1" applyAlignment="1" applyProtection="1">
      <alignment horizontal="centerContinuous" vertical="center"/>
      <protection locked="0"/>
    </xf>
    <xf numFmtId="4" fontId="29" fillId="0" borderId="0" xfId="6" applyNumberFormat="1" applyFont="1" applyAlignment="1" applyProtection="1">
      <alignment vertical="center"/>
      <protection locked="0"/>
    </xf>
    <xf numFmtId="3" fontId="36" fillId="0" borderId="0" xfId="6" applyNumberFormat="1" applyFont="1" applyAlignment="1" applyProtection="1">
      <alignment vertical="center"/>
      <protection locked="0"/>
    </xf>
    <xf numFmtId="174" fontId="29" fillId="0" borderId="0" xfId="6" applyNumberFormat="1" applyFont="1" applyAlignment="1" applyProtection="1">
      <alignment horizontal="center" vertical="center"/>
      <protection locked="0"/>
    </xf>
    <xf numFmtId="3" fontId="29" fillId="0" borderId="0" xfId="6" applyNumberFormat="1" applyFont="1" applyProtection="1">
      <protection locked="0"/>
    </xf>
    <xf numFmtId="3" fontId="29" fillId="0" borderId="9" xfId="6" applyNumberFormat="1" applyFont="1" applyBorder="1" applyProtection="1">
      <protection locked="0"/>
    </xf>
    <xf numFmtId="3" fontId="29" fillId="0" borderId="0" xfId="6" applyNumberFormat="1" applyFont="1" applyAlignment="1" applyProtection="1">
      <alignment horizontal="centerContinuous"/>
      <protection locked="0"/>
    </xf>
    <xf numFmtId="3" fontId="13" fillId="0" borderId="0" xfId="6" applyNumberFormat="1" applyFont="1" applyAlignment="1" applyProtection="1">
      <alignment horizontal="center"/>
      <protection locked="0"/>
    </xf>
    <xf numFmtId="4" fontId="1" fillId="0" borderId="0" xfId="6" applyNumberFormat="1" applyFont="1" applyAlignment="1" applyProtection="1">
      <alignment horizontal="right"/>
      <protection locked="0"/>
    </xf>
    <xf numFmtId="166" fontId="1" fillId="0" borderId="0" xfId="4" applyFont="1" applyBorder="1" applyAlignment="1" applyProtection="1">
      <alignment horizontal="centerContinuous"/>
      <protection locked="0"/>
    </xf>
    <xf numFmtId="166" fontId="29" fillId="0" borderId="0" xfId="4" applyFont="1" applyBorder="1" applyProtection="1">
      <protection locked="0"/>
    </xf>
    <xf numFmtId="3" fontId="36" fillId="0" borderId="0" xfId="6" applyNumberFormat="1" applyFont="1" applyProtection="1">
      <protection locked="0"/>
    </xf>
    <xf numFmtId="174" fontId="29" fillId="0" borderId="0" xfId="6" applyNumberFormat="1" applyFont="1" applyAlignment="1" applyProtection="1">
      <alignment horizontal="center"/>
      <protection locked="0"/>
    </xf>
    <xf numFmtId="3" fontId="29" fillId="0" borderId="40" xfId="0" applyNumberFormat="1" applyFont="1" applyBorder="1" applyProtection="1">
      <protection locked="0"/>
    </xf>
    <xf numFmtId="3" fontId="29" fillId="0" borderId="1" xfId="0" applyNumberFormat="1" applyFont="1" applyBorder="1" applyAlignment="1" applyProtection="1">
      <alignment horizontal="centerContinuous"/>
      <protection locked="0"/>
    </xf>
    <xf numFmtId="3" fontId="29" fillId="0" borderId="2" xfId="6" applyNumberFormat="1" applyFont="1" applyBorder="1" applyAlignment="1" applyProtection="1">
      <alignment horizontal="centerContinuous"/>
      <protection locked="0"/>
    </xf>
    <xf numFmtId="3" fontId="29" fillId="0" borderId="8" xfId="6" applyNumberFormat="1" applyFont="1" applyBorder="1" applyAlignment="1" applyProtection="1">
      <alignment horizontal="centerContinuous"/>
      <protection locked="0"/>
    </xf>
    <xf numFmtId="3" fontId="13" fillId="0" borderId="40" xfId="0" applyNumberFormat="1" applyFont="1" applyBorder="1" applyAlignment="1" applyProtection="1">
      <alignment horizontal="center"/>
      <protection locked="0"/>
    </xf>
    <xf numFmtId="4" fontId="1" fillId="0" borderId="2" xfId="0" applyNumberFormat="1" applyFont="1" applyBorder="1" applyAlignment="1" applyProtection="1">
      <alignment horizontal="right"/>
      <protection locked="0"/>
    </xf>
    <xf numFmtId="166" fontId="1" fillId="0" borderId="40" xfId="4" applyFont="1" applyBorder="1" applyAlignment="1" applyProtection="1">
      <alignment horizontal="center"/>
      <protection locked="0"/>
    </xf>
    <xf numFmtId="3" fontId="29" fillId="0" borderId="8" xfId="0" applyNumberFormat="1" applyFont="1" applyBorder="1" applyAlignment="1" applyProtection="1">
      <alignment horizontal="centerContinuous"/>
      <protection locked="0"/>
    </xf>
    <xf numFmtId="4" fontId="29" fillId="0" borderId="35" xfId="0" applyNumberFormat="1" applyFont="1" applyBorder="1" applyAlignment="1" applyProtection="1">
      <alignment horizontal="centerContinuous"/>
      <protection locked="0"/>
    </xf>
    <xf numFmtId="166" fontId="29" fillId="0" borderId="36" xfId="4" applyFont="1" applyBorder="1" applyAlignment="1" applyProtection="1">
      <alignment horizontal="centerContinuous"/>
      <protection locked="0"/>
    </xf>
    <xf numFmtId="3" fontId="36" fillId="0" borderId="35" xfId="0" applyNumberFormat="1" applyFont="1" applyBorder="1" applyAlignment="1" applyProtection="1">
      <alignment horizontal="centerContinuous"/>
      <protection locked="0"/>
    </xf>
    <xf numFmtId="3" fontId="29" fillId="0" borderId="5" xfId="0" applyNumberFormat="1" applyFont="1" applyBorder="1" applyAlignment="1" applyProtection="1">
      <alignment horizontal="centerContinuous"/>
      <protection locked="0"/>
    </xf>
    <xf numFmtId="166" fontId="29" fillId="0" borderId="5" xfId="4" applyFont="1" applyBorder="1" applyAlignment="1" applyProtection="1">
      <alignment horizontal="centerContinuous"/>
      <protection locked="0"/>
    </xf>
    <xf numFmtId="3" fontId="29" fillId="0" borderId="5" xfId="0" applyNumberFormat="1" applyFont="1" applyBorder="1" applyAlignment="1" applyProtection="1">
      <alignment horizontal="center"/>
      <protection locked="0"/>
    </xf>
    <xf numFmtId="3" fontId="29" fillId="0" borderId="36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Protection="1">
      <protection locked="0"/>
    </xf>
    <xf numFmtId="168" fontId="1" fillId="9" borderId="39" xfId="6" applyNumberFormat="1" applyFont="1" applyFill="1" applyBorder="1" applyAlignment="1" applyProtection="1">
      <alignment vertical="center"/>
      <protection locked="0"/>
    </xf>
    <xf numFmtId="4" fontId="29" fillId="0" borderId="39" xfId="0" applyNumberFormat="1" applyFont="1" applyBorder="1" applyAlignment="1" applyProtection="1">
      <alignment horizontal="centerContinuous"/>
      <protection locked="0"/>
    </xf>
    <xf numFmtId="166" fontId="1" fillId="9" borderId="36" xfId="4" applyFont="1" applyFill="1" applyBorder="1" applyAlignment="1" applyProtection="1">
      <alignment vertical="center"/>
      <protection locked="0"/>
    </xf>
    <xf numFmtId="3" fontId="36" fillId="0" borderId="39" xfId="0" applyNumberFormat="1" applyFont="1" applyBorder="1" applyAlignment="1" applyProtection="1">
      <alignment horizontal="centerContinuous"/>
      <protection locked="0"/>
    </xf>
    <xf numFmtId="168" fontId="1" fillId="9" borderId="36" xfId="6" applyNumberFormat="1" applyFont="1" applyFill="1" applyBorder="1" applyAlignment="1" applyProtection="1">
      <alignment vertical="center"/>
      <protection locked="0"/>
    </xf>
    <xf numFmtId="3" fontId="29" fillId="0" borderId="16" xfId="0" applyNumberFormat="1" applyFont="1" applyBorder="1" applyAlignment="1" applyProtection="1">
      <alignment horizontal="center"/>
      <protection locked="0"/>
    </xf>
    <xf numFmtId="179" fontId="1" fillId="0" borderId="40" xfId="0" applyNumberFormat="1" applyFont="1" applyBorder="1" applyProtection="1">
      <protection locked="0"/>
    </xf>
    <xf numFmtId="4" fontId="29" fillId="0" borderId="0" xfId="6" applyNumberFormat="1" applyFont="1" applyProtection="1">
      <protection locked="0"/>
    </xf>
    <xf numFmtId="166" fontId="1" fillId="0" borderId="40" xfId="4" applyFont="1" applyBorder="1" applyAlignment="1" applyProtection="1">
      <alignment horizontal="left"/>
      <protection locked="0"/>
    </xf>
    <xf numFmtId="3" fontId="1" fillId="0" borderId="39" xfId="0" applyNumberFormat="1" applyFont="1" applyBorder="1" applyProtection="1">
      <protection locked="0"/>
    </xf>
    <xf numFmtId="4" fontId="1" fillId="0" borderId="5" xfId="0" applyNumberFormat="1" applyFont="1" applyBorder="1" applyAlignment="1" applyProtection="1">
      <alignment horizontal="right"/>
      <protection locked="0"/>
    </xf>
    <xf numFmtId="166" fontId="1" fillId="0" borderId="39" xfId="4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wrapText="1"/>
      <protection locked="0"/>
    </xf>
    <xf numFmtId="3" fontId="29" fillId="0" borderId="0" xfId="6" applyNumberFormat="1" applyFont="1" applyAlignment="1" applyProtection="1">
      <alignment horizontal="center" vertical="center"/>
      <protection locked="0"/>
    </xf>
    <xf numFmtId="168" fontId="1" fillId="0" borderId="36" xfId="6" applyNumberFormat="1" applyFont="1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wrapText="1"/>
      <protection locked="0"/>
    </xf>
    <xf numFmtId="3" fontId="29" fillId="0" borderId="5" xfId="6" applyNumberFormat="1" applyFont="1" applyBorder="1" applyAlignment="1" applyProtection="1">
      <alignment horizontal="center" vertical="center"/>
      <protection locked="0"/>
    </xf>
    <xf numFmtId="166" fontId="1" fillId="0" borderId="5" xfId="4" applyFont="1" applyFill="1" applyBorder="1" applyAlignment="1" applyProtection="1">
      <alignment horizontal="centerContinuous" vertical="center"/>
      <protection locked="0"/>
    </xf>
    <xf numFmtId="168" fontId="29" fillId="9" borderId="39" xfId="6" applyNumberFormat="1" applyFont="1" applyFill="1" applyBorder="1" applyAlignment="1" applyProtection="1">
      <alignment vertical="center"/>
      <protection locked="0"/>
    </xf>
    <xf numFmtId="4" fontId="29" fillId="0" borderId="35" xfId="6" applyNumberFormat="1" applyFont="1" applyBorder="1" applyAlignment="1" applyProtection="1">
      <alignment vertical="center"/>
      <protection locked="0"/>
    </xf>
    <xf numFmtId="166" fontId="29" fillId="9" borderId="39" xfId="4" applyFont="1" applyFill="1" applyBorder="1" applyAlignment="1" applyProtection="1">
      <alignment vertical="center"/>
      <protection locked="0"/>
    </xf>
    <xf numFmtId="3" fontId="36" fillId="0" borderId="39" xfId="6" applyNumberFormat="1" applyFont="1" applyBorder="1" applyAlignment="1" applyProtection="1">
      <alignment vertical="center"/>
      <protection locked="0"/>
    </xf>
    <xf numFmtId="3" fontId="29" fillId="0" borderId="35" xfId="6" applyNumberFormat="1" applyFont="1" applyBorder="1" applyAlignment="1" applyProtection="1">
      <alignment vertical="center"/>
      <protection locked="0"/>
    </xf>
    <xf numFmtId="0" fontId="1" fillId="0" borderId="35" xfId="0" applyFont="1" applyBorder="1" applyProtection="1">
      <protection locked="0"/>
    </xf>
    <xf numFmtId="3" fontId="30" fillId="0" borderId="5" xfId="6" applyNumberFormat="1" applyFont="1" applyBorder="1" applyAlignment="1" applyProtection="1">
      <alignment horizontal="center"/>
      <protection locked="0"/>
    </xf>
    <xf numFmtId="3" fontId="31" fillId="0" borderId="5" xfId="6" applyNumberFormat="1" applyFont="1" applyBorder="1" applyAlignment="1" applyProtection="1">
      <alignment horizontal="center"/>
      <protection locked="0"/>
    </xf>
    <xf numFmtId="4" fontId="32" fillId="0" borderId="5" xfId="6" applyNumberFormat="1" applyFont="1" applyBorder="1" applyAlignment="1" applyProtection="1">
      <alignment horizontal="right"/>
      <protection locked="0"/>
    </xf>
    <xf numFmtId="166" fontId="32" fillId="0" borderId="5" xfId="4" applyFont="1" applyFill="1" applyBorder="1" applyAlignment="1" applyProtection="1">
      <alignment horizontal="centerContinuous"/>
      <protection locked="0"/>
    </xf>
    <xf numFmtId="4" fontId="30" fillId="0" borderId="5" xfId="6" applyNumberFormat="1" applyFont="1" applyBorder="1" applyAlignment="1" applyProtection="1">
      <alignment horizontal="centerContinuous"/>
      <protection locked="0"/>
    </xf>
    <xf numFmtId="3" fontId="30" fillId="0" borderId="5" xfId="6" applyNumberFormat="1" applyFont="1" applyBorder="1" applyAlignment="1" applyProtection="1">
      <alignment horizontal="centerContinuous"/>
      <protection locked="0"/>
    </xf>
    <xf numFmtId="166" fontId="30" fillId="0" borderId="5" xfId="4" applyFont="1" applyFill="1" applyBorder="1" applyAlignment="1" applyProtection="1">
      <alignment horizontal="centerContinuous"/>
      <protection locked="0"/>
    </xf>
    <xf numFmtId="3" fontId="33" fillId="0" borderId="5" xfId="6" applyNumberFormat="1" applyFont="1" applyBorder="1" applyAlignment="1" applyProtection="1">
      <alignment horizontal="centerContinuous"/>
      <protection locked="0"/>
    </xf>
    <xf numFmtId="174" fontId="30" fillId="0" borderId="5" xfId="6" applyNumberFormat="1" applyFont="1" applyBorder="1" applyAlignment="1" applyProtection="1">
      <alignment horizontal="center"/>
      <protection locked="0"/>
    </xf>
    <xf numFmtId="174" fontId="30" fillId="0" borderId="36" xfId="6" applyNumberFormat="1" applyFont="1" applyBorder="1" applyAlignment="1" applyProtection="1">
      <alignment horizontal="center"/>
      <protection locked="0"/>
    </xf>
    <xf numFmtId="0" fontId="13" fillId="0" borderId="39" xfId="0" applyFont="1" applyBorder="1" applyAlignment="1" applyProtection="1">
      <alignment horizontal="left" vertical="center" wrapText="1"/>
      <protection locked="0"/>
    </xf>
    <xf numFmtId="166" fontId="1" fillId="0" borderId="35" xfId="4" applyFont="1" applyFill="1" applyBorder="1" applyAlignment="1" applyProtection="1">
      <alignment vertical="center"/>
      <protection locked="0"/>
    </xf>
    <xf numFmtId="4" fontId="36" fillId="0" borderId="39" xfId="0" applyNumberFormat="1" applyFont="1" applyBorder="1" applyAlignment="1" applyProtection="1">
      <alignment horizontal="centerContinuous"/>
      <protection locked="0"/>
    </xf>
    <xf numFmtId="4" fontId="1" fillId="0" borderId="39" xfId="0" applyNumberFormat="1" applyFont="1" applyBorder="1" applyAlignment="1" applyProtection="1">
      <alignment horizontal="center"/>
      <protection locked="0"/>
    </xf>
    <xf numFmtId="3" fontId="29" fillId="0" borderId="0" xfId="6" applyNumberFormat="1" applyFont="1" applyAlignment="1">
      <alignment horizontal="centerContinuous" vertical="center"/>
    </xf>
    <xf numFmtId="3" fontId="13" fillId="0" borderId="0" xfId="6" applyNumberFormat="1" applyFont="1" applyAlignment="1">
      <alignment horizontal="center" vertical="center"/>
    </xf>
    <xf numFmtId="4" fontId="1" fillId="0" borderId="0" xfId="6" applyNumberFormat="1" applyFont="1" applyAlignment="1">
      <alignment horizontal="right" vertical="center"/>
    </xf>
    <xf numFmtId="166" fontId="1" fillId="0" borderId="0" xfId="4" applyFont="1" applyFill="1" applyBorder="1" applyAlignment="1" applyProtection="1">
      <alignment horizontal="centerContinuous" vertical="center"/>
    </xf>
    <xf numFmtId="168" fontId="29" fillId="0" borderId="0" xfId="6" applyNumberFormat="1" applyFont="1" applyAlignment="1">
      <alignment vertical="center"/>
    </xf>
    <xf numFmtId="3" fontId="29" fillId="0" borderId="0" xfId="6" applyNumberFormat="1" applyFont="1" applyAlignment="1">
      <alignment vertical="center"/>
    </xf>
    <xf numFmtId="4" fontId="29" fillId="0" borderId="0" xfId="6" applyNumberFormat="1" applyFont="1" applyAlignment="1">
      <alignment vertical="center"/>
    </xf>
    <xf numFmtId="166" fontId="29" fillId="0" borderId="0" xfId="4" applyFont="1" applyFill="1" applyBorder="1" applyAlignment="1" applyProtection="1">
      <alignment vertical="center"/>
    </xf>
    <xf numFmtId="3" fontId="36" fillId="0" borderId="0" xfId="6" applyNumberFormat="1" applyFont="1" applyAlignment="1">
      <alignment vertical="center"/>
    </xf>
    <xf numFmtId="174" fontId="29" fillId="0" borderId="0" xfId="6" applyNumberFormat="1" applyFont="1" applyAlignment="1">
      <alignment horizontal="center" vertical="center"/>
    </xf>
    <xf numFmtId="0" fontId="1" fillId="0" borderId="35" xfId="0" applyFont="1" applyBorder="1"/>
    <xf numFmtId="3" fontId="30" fillId="0" borderId="5" xfId="6" applyNumberFormat="1" applyFont="1" applyBorder="1" applyAlignment="1">
      <alignment horizontal="center"/>
    </xf>
    <xf numFmtId="3" fontId="31" fillId="0" borderId="5" xfId="6" applyNumberFormat="1" applyFont="1" applyBorder="1" applyAlignment="1">
      <alignment horizontal="center"/>
    </xf>
    <xf numFmtId="4" fontId="32" fillId="0" borderId="5" xfId="6" applyNumberFormat="1" applyFont="1" applyBorder="1" applyAlignment="1">
      <alignment horizontal="right"/>
    </xf>
    <xf numFmtId="166" fontId="32" fillId="0" borderId="5" xfId="4" applyFont="1" applyFill="1" applyBorder="1" applyAlignment="1" applyProtection="1">
      <alignment horizontal="centerContinuous"/>
    </xf>
    <xf numFmtId="4" fontId="30" fillId="0" borderId="5" xfId="6" applyNumberFormat="1" applyFont="1" applyBorder="1" applyAlignment="1">
      <alignment horizontal="centerContinuous"/>
    </xf>
    <xf numFmtId="3" fontId="30" fillId="0" borderId="5" xfId="6" applyNumberFormat="1" applyFont="1" applyBorder="1" applyAlignment="1">
      <alignment horizontal="centerContinuous"/>
    </xf>
    <xf numFmtId="166" fontId="30" fillId="0" borderId="5" xfId="4" applyFont="1" applyFill="1" applyBorder="1" applyAlignment="1" applyProtection="1">
      <alignment horizontal="centerContinuous"/>
    </xf>
    <xf numFmtId="3" fontId="33" fillId="0" borderId="5" xfId="6" applyNumberFormat="1" applyFont="1" applyBorder="1" applyAlignment="1">
      <alignment horizontal="centerContinuous"/>
    </xf>
    <xf numFmtId="174" fontId="30" fillId="0" borderId="5" xfId="6" applyNumberFormat="1" applyFont="1" applyBorder="1" applyAlignment="1">
      <alignment horizontal="center"/>
    </xf>
    <xf numFmtId="174" fontId="30" fillId="0" borderId="36" xfId="6" applyNumberFormat="1" applyFont="1" applyBorder="1" applyAlignment="1">
      <alignment horizontal="center"/>
    </xf>
    <xf numFmtId="0" fontId="1" fillId="0" borderId="9" xfId="0" applyFont="1" applyBorder="1"/>
    <xf numFmtId="3" fontId="6" fillId="0" borderId="5" xfId="0" applyNumberFormat="1" applyFont="1" applyBorder="1"/>
    <xf numFmtId="3" fontId="8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right"/>
    </xf>
    <xf numFmtId="166" fontId="6" fillId="0" borderId="0" xfId="4" applyFont="1" applyFill="1" applyBorder="1" applyProtection="1"/>
    <xf numFmtId="4" fontId="6" fillId="0" borderId="0" xfId="0" applyNumberFormat="1" applyFont="1"/>
    <xf numFmtId="3" fontId="8" fillId="0" borderId="0" xfId="0" applyNumberFormat="1" applyFont="1"/>
    <xf numFmtId="3" fontId="6" fillId="0" borderId="0" xfId="0" applyNumberFormat="1" applyFont="1" applyAlignment="1">
      <alignment horizontal="center"/>
    </xf>
    <xf numFmtId="3" fontId="1" fillId="0" borderId="1" xfId="6" applyNumberFormat="1" applyFont="1" applyBorder="1"/>
    <xf numFmtId="3" fontId="1" fillId="0" borderId="2" xfId="6" applyNumberFormat="1" applyFont="1" applyBorder="1"/>
    <xf numFmtId="3" fontId="1" fillId="0" borderId="40" xfId="6" applyNumberFormat="1" applyFont="1" applyBorder="1"/>
    <xf numFmtId="4" fontId="1" fillId="0" borderId="1" xfId="6" applyNumberFormat="1" applyFont="1" applyBorder="1"/>
    <xf numFmtId="166" fontId="1" fillId="0" borderId="39" xfId="4" applyFont="1" applyBorder="1" applyProtection="1"/>
    <xf numFmtId="3" fontId="13" fillId="0" borderId="1" xfId="6" applyNumberFormat="1" applyFont="1" applyBorder="1"/>
    <xf numFmtId="3" fontId="1" fillId="0" borderId="35" xfId="6" applyNumberFormat="1" applyFont="1" applyBorder="1"/>
    <xf numFmtId="3" fontId="1" fillId="0" borderId="37" xfId="6" applyNumberFormat="1" applyFont="1" applyBorder="1"/>
    <xf numFmtId="166" fontId="1" fillId="0" borderId="35" xfId="4" applyFont="1" applyBorder="1" applyAlignment="1" applyProtection="1">
      <alignment horizontal="center"/>
    </xf>
    <xf numFmtId="174" fontId="1" fillId="0" borderId="35" xfId="6" applyNumberFormat="1" applyFont="1" applyBorder="1" applyAlignment="1">
      <alignment horizontal="center"/>
    </xf>
    <xf numFmtId="174" fontId="1" fillId="0" borderId="36" xfId="6" applyNumberFormat="1" applyFont="1" applyBorder="1" applyAlignment="1">
      <alignment horizontal="center"/>
    </xf>
    <xf numFmtId="3" fontId="29" fillId="0" borderId="9" xfId="6" applyNumberFormat="1" applyFont="1" applyBorder="1"/>
    <xf numFmtId="3" fontId="29" fillId="0" borderId="0" xfId="6" applyNumberFormat="1" applyFont="1" applyAlignment="1">
      <alignment horizontal="left"/>
    </xf>
    <xf numFmtId="166" fontId="6" fillId="0" borderId="0" xfId="4" applyFont="1" applyBorder="1" applyProtection="1"/>
    <xf numFmtId="168" fontId="29" fillId="9" borderId="37" xfId="6" applyNumberFormat="1" applyFont="1" applyFill="1" applyBorder="1" applyAlignment="1">
      <alignment vertical="center"/>
    </xf>
    <xf numFmtId="4" fontId="29" fillId="0" borderId="9" xfId="6" applyNumberFormat="1" applyFont="1" applyBorder="1" applyAlignment="1">
      <alignment vertical="center"/>
    </xf>
    <xf numFmtId="173" fontId="29" fillId="9" borderId="39" xfId="4" applyNumberFormat="1" applyFont="1" applyFill="1" applyBorder="1" applyAlignment="1" applyProtection="1">
      <alignment vertical="center"/>
    </xf>
    <xf numFmtId="3" fontId="36" fillId="0" borderId="9" xfId="6" applyNumberFormat="1" applyFont="1" applyBorder="1" applyAlignment="1">
      <alignment vertical="center"/>
    </xf>
    <xf numFmtId="3" fontId="29" fillId="0" borderId="37" xfId="6" applyNumberFormat="1" applyFont="1" applyBorder="1" applyAlignment="1">
      <alignment vertical="center"/>
    </xf>
    <xf numFmtId="168" fontId="29" fillId="9" borderId="39" xfId="6" applyNumberFormat="1" applyFont="1" applyFill="1" applyBorder="1" applyAlignment="1">
      <alignment vertical="center"/>
    </xf>
    <xf numFmtId="3" fontId="29" fillId="0" borderId="0" xfId="6" applyNumberFormat="1" applyFont="1" applyAlignment="1">
      <alignment horizontal="center"/>
    </xf>
    <xf numFmtId="168" fontId="1" fillId="0" borderId="37" xfId="6" applyNumberFormat="1" applyFont="1" applyBorder="1" applyAlignment="1">
      <alignment vertical="center"/>
    </xf>
    <xf numFmtId="173" fontId="29" fillId="0" borderId="39" xfId="4" applyNumberFormat="1" applyFont="1" applyFill="1" applyBorder="1" applyAlignment="1" applyProtection="1">
      <alignment vertical="center"/>
    </xf>
    <xf numFmtId="3" fontId="29" fillId="0" borderId="39" xfId="6" applyNumberFormat="1" applyFont="1" applyBorder="1" applyAlignment="1">
      <alignment vertical="center"/>
    </xf>
    <xf numFmtId="10" fontId="29" fillId="0" borderId="35" xfId="6" applyNumberFormat="1" applyFont="1" applyBorder="1" applyAlignment="1">
      <alignment horizontal="center" vertical="center"/>
    </xf>
    <xf numFmtId="10" fontId="29" fillId="0" borderId="36" xfId="6" applyNumberFormat="1" applyFont="1" applyBorder="1" applyAlignment="1">
      <alignment horizontal="center" vertical="center"/>
    </xf>
    <xf numFmtId="9" fontId="29" fillId="0" borderId="0" xfId="5" applyFont="1" applyFill="1" applyBorder="1" applyAlignment="1" applyProtection="1">
      <alignment horizontal="left"/>
    </xf>
    <xf numFmtId="9" fontId="29" fillId="0" borderId="0" xfId="5" applyFont="1" applyFill="1" applyBorder="1" applyAlignment="1" applyProtection="1">
      <alignment horizontal="right"/>
    </xf>
    <xf numFmtId="10" fontId="29" fillId="3" borderId="0" xfId="5" applyNumberFormat="1" applyFont="1" applyFill="1" applyBorder="1" applyAlignment="1" applyProtection="1">
      <alignment horizontal="center"/>
      <protection locked="0"/>
    </xf>
    <xf numFmtId="10" fontId="29" fillId="3" borderId="0" xfId="5" applyNumberFormat="1" applyFont="1" applyFill="1" applyBorder="1" applyAlignment="1" applyProtection="1">
      <alignment horizontal="center"/>
    </xf>
    <xf numFmtId="173" fontId="29" fillId="0" borderId="39" xfId="4" applyNumberFormat="1" applyFont="1" applyBorder="1" applyAlignment="1" applyProtection="1">
      <alignment vertical="center"/>
    </xf>
    <xf numFmtId="10" fontId="29" fillId="0" borderId="35" xfId="5" applyNumberFormat="1" applyFont="1" applyFill="1" applyBorder="1" applyAlignment="1" applyProtection="1">
      <alignment horizontal="center" vertical="center"/>
    </xf>
    <xf numFmtId="10" fontId="29" fillId="0" borderId="36" xfId="5" applyNumberFormat="1" applyFont="1" applyFill="1" applyBorder="1" applyAlignment="1" applyProtection="1">
      <alignment horizontal="center" vertical="center"/>
    </xf>
    <xf numFmtId="10" fontId="57" fillId="0" borderId="0" xfId="5" applyNumberFormat="1" applyFont="1" applyBorder="1" applyAlignment="1" applyProtection="1">
      <alignment horizontal="center"/>
    </xf>
    <xf numFmtId="10" fontId="58" fillId="0" borderId="0" xfId="5" applyNumberFormat="1" applyFont="1" applyBorder="1" applyAlignment="1" applyProtection="1">
      <alignment horizontal="center"/>
    </xf>
    <xf numFmtId="0" fontId="13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0" fontId="1" fillId="0" borderId="0" xfId="0" applyFont="1"/>
    <xf numFmtId="168" fontId="29" fillId="0" borderId="37" xfId="6" applyNumberFormat="1" applyFont="1" applyBorder="1" applyAlignment="1">
      <alignment vertical="center"/>
    </xf>
    <xf numFmtId="168" fontId="59" fillId="0" borderId="0" xfId="6" applyNumberFormat="1" applyFont="1" applyAlignment="1">
      <alignment vertical="center"/>
    </xf>
    <xf numFmtId="168" fontId="29" fillId="9" borderId="44" xfId="6" applyNumberFormat="1" applyFont="1" applyFill="1" applyBorder="1" applyAlignment="1">
      <alignment vertical="center"/>
    </xf>
    <xf numFmtId="9" fontId="29" fillId="0" borderId="9" xfId="5" applyFont="1" applyFill="1" applyBorder="1" applyAlignment="1" applyProtection="1">
      <alignment horizontal="center" vertical="center"/>
    </xf>
    <xf numFmtId="9" fontId="29" fillId="0" borderId="16" xfId="5" applyFont="1" applyFill="1" applyBorder="1" applyAlignment="1" applyProtection="1">
      <alignment horizontal="center" vertical="center"/>
    </xf>
    <xf numFmtId="175" fontId="29" fillId="3" borderId="44" xfId="1" applyFont="1" applyFill="1" applyBorder="1" applyAlignment="1">
      <alignment vertical="center"/>
    </xf>
    <xf numFmtId="175" fontId="29" fillId="0" borderId="0" xfId="1" applyFont="1" applyBorder="1" applyAlignment="1">
      <alignment vertical="center"/>
    </xf>
    <xf numFmtId="175" fontId="29" fillId="0" borderId="9" xfId="1" applyFont="1" applyBorder="1" applyAlignment="1">
      <alignment vertical="center"/>
    </xf>
    <xf numFmtId="175" fontId="29" fillId="3" borderId="39" xfId="1" applyFont="1" applyFill="1" applyBorder="1" applyAlignment="1" applyProtection="1">
      <alignment vertical="center"/>
      <protection locked="0"/>
    </xf>
    <xf numFmtId="175" fontId="36" fillId="0" borderId="9" xfId="1" applyFont="1" applyFill="1" applyBorder="1" applyAlignment="1">
      <alignment vertical="center"/>
    </xf>
    <xf numFmtId="175" fontId="29" fillId="0" borderId="37" xfId="1" applyFont="1" applyBorder="1" applyAlignment="1">
      <alignment vertical="center"/>
    </xf>
    <xf numFmtId="9" fontId="29" fillId="0" borderId="35" xfId="5" applyFont="1" applyFill="1" applyBorder="1" applyAlignment="1" applyProtection="1">
      <alignment horizontal="center" vertical="center"/>
    </xf>
    <xf numFmtId="9" fontId="29" fillId="0" borderId="36" xfId="5" applyFont="1" applyFill="1" applyBorder="1" applyAlignment="1" applyProtection="1">
      <alignment horizontal="center" vertical="center"/>
    </xf>
    <xf numFmtId="3" fontId="6" fillId="0" borderId="37" xfId="0" applyNumberFormat="1" applyFont="1" applyBorder="1"/>
    <xf numFmtId="3" fontId="6" fillId="3" borderId="44" xfId="0" applyNumberFormat="1" applyFont="1" applyFill="1" applyBorder="1"/>
    <xf numFmtId="10" fontId="29" fillId="0" borderId="39" xfId="5" applyNumberFormat="1" applyFont="1" applyFill="1" applyBorder="1" applyAlignment="1" applyProtection="1">
      <alignment horizontal="center" vertical="center"/>
      <protection locked="0"/>
    </xf>
    <xf numFmtId="173" fontId="29" fillId="3" borderId="39" xfId="4" applyNumberFormat="1" applyFont="1" applyFill="1" applyBorder="1" applyAlignment="1" applyProtection="1">
      <alignment vertical="center"/>
      <protection locked="0"/>
    </xf>
    <xf numFmtId="168" fontId="29" fillId="3" borderId="39" xfId="6" applyNumberFormat="1" applyFont="1" applyFill="1" applyBorder="1" applyAlignment="1" applyProtection="1">
      <alignment vertical="center"/>
      <protection locked="0"/>
    </xf>
    <xf numFmtId="168" fontId="29" fillId="3" borderId="39" xfId="6" applyNumberFormat="1" applyFont="1" applyFill="1" applyBorder="1" applyAlignment="1">
      <alignment vertical="center"/>
    </xf>
    <xf numFmtId="182" fontId="6" fillId="0" borderId="16" xfId="0" applyNumberFormat="1" applyFont="1" applyBorder="1"/>
    <xf numFmtId="183" fontId="6" fillId="0" borderId="0" xfId="0" applyNumberFormat="1" applyFont="1"/>
    <xf numFmtId="9" fontId="29" fillId="0" borderId="1" xfId="5" applyFont="1" applyFill="1" applyBorder="1" applyAlignment="1" applyProtection="1">
      <alignment horizontal="center" vertical="center"/>
    </xf>
    <xf numFmtId="9" fontId="29" fillId="0" borderId="8" xfId="5" applyFont="1" applyFill="1" applyBorder="1" applyAlignment="1" applyProtection="1">
      <alignment horizontal="center" vertical="center"/>
    </xf>
    <xf numFmtId="173" fontId="55" fillId="0" borderId="0" xfId="4" applyNumberFormat="1" applyFont="1" applyBorder="1" applyProtection="1"/>
    <xf numFmtId="168" fontId="12" fillId="9" borderId="44" xfId="6" applyNumberFormat="1" applyFont="1" applyFill="1" applyBorder="1" applyAlignment="1">
      <alignment vertical="center"/>
    </xf>
    <xf numFmtId="168" fontId="18" fillId="0" borderId="37" xfId="0" applyNumberFormat="1" applyFont="1" applyBorder="1"/>
    <xf numFmtId="166" fontId="55" fillId="0" borderId="0" xfId="4" applyFont="1" applyBorder="1" applyProtection="1"/>
    <xf numFmtId="0" fontId="18" fillId="0" borderId="37" xfId="0" applyFont="1" applyBorder="1"/>
    <xf numFmtId="10" fontId="29" fillId="9" borderId="39" xfId="5" applyNumberFormat="1" applyFont="1" applyFill="1" applyBorder="1" applyAlignment="1" applyProtection="1">
      <alignment horizontal="center" vertical="center"/>
    </xf>
    <xf numFmtId="164" fontId="12" fillId="12" borderId="44" xfId="0" applyNumberFormat="1" applyFont="1" applyFill="1" applyBorder="1"/>
    <xf numFmtId="173" fontId="12" fillId="9" borderId="39" xfId="4" applyNumberFormat="1" applyFont="1" applyFill="1" applyBorder="1" applyAlignment="1" applyProtection="1">
      <alignment vertical="center"/>
    </xf>
    <xf numFmtId="184" fontId="12" fillId="9" borderId="39" xfId="6" applyNumberFormat="1" applyFont="1" applyFill="1" applyBorder="1" applyAlignment="1">
      <alignment vertical="center"/>
    </xf>
    <xf numFmtId="3" fontId="1" fillId="0" borderId="13" xfId="6" applyNumberFormat="1" applyFont="1" applyBorder="1"/>
    <xf numFmtId="3" fontId="1" fillId="0" borderId="14" xfId="6" applyNumberFormat="1" applyFont="1" applyBorder="1"/>
    <xf numFmtId="3" fontId="29" fillId="0" borderId="14" xfId="6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4" fontId="6" fillId="0" borderId="14" xfId="0" applyNumberFormat="1" applyFont="1" applyBorder="1" applyAlignment="1">
      <alignment horizontal="right"/>
    </xf>
    <xf numFmtId="166" fontId="6" fillId="0" borderId="14" xfId="4" applyFont="1" applyBorder="1" applyProtection="1"/>
    <xf numFmtId="3" fontId="12" fillId="0" borderId="41" xfId="6" applyNumberFormat="1" applyFont="1" applyBorder="1"/>
    <xf numFmtId="3" fontId="29" fillId="0" borderId="0" xfId="6" applyNumberFormat="1" applyFont="1"/>
    <xf numFmtId="4" fontId="29" fillId="0" borderId="13" xfId="6" applyNumberFormat="1" applyFont="1" applyBorder="1"/>
    <xf numFmtId="166" fontId="29" fillId="0" borderId="39" xfId="4" applyFont="1" applyBorder="1" applyProtection="1"/>
    <xf numFmtId="3" fontId="36" fillId="0" borderId="13" xfId="6" applyNumberFormat="1" applyFont="1" applyBorder="1"/>
    <xf numFmtId="3" fontId="29" fillId="0" borderId="39" xfId="6" applyNumberFormat="1" applyFont="1" applyBorder="1"/>
    <xf numFmtId="3" fontId="29" fillId="0" borderId="37" xfId="6" applyNumberFormat="1" applyFont="1" applyBorder="1"/>
    <xf numFmtId="166" fontId="29" fillId="0" borderId="41" xfId="4" applyFont="1" applyFill="1" applyBorder="1" applyProtection="1"/>
    <xf numFmtId="3" fontId="29" fillId="0" borderId="13" xfId="6" applyNumberFormat="1" applyFont="1" applyBorder="1" applyAlignment="1">
      <alignment horizontal="center"/>
    </xf>
    <xf numFmtId="3" fontId="29" fillId="0" borderId="15" xfId="6" applyNumberFormat="1" applyFont="1" applyBorder="1" applyAlignment="1">
      <alignment horizontal="center"/>
    </xf>
    <xf numFmtId="3" fontId="29" fillId="0" borderId="0" xfId="6" applyNumberFormat="1" applyFont="1" applyAlignment="1">
      <alignment horizontal="centerContinuous"/>
    </xf>
    <xf numFmtId="3" fontId="12" fillId="0" borderId="0" xfId="6" applyNumberFormat="1" applyFont="1" applyAlignment="1">
      <alignment horizontal="centerContinuous"/>
    </xf>
    <xf numFmtId="4" fontId="29" fillId="0" borderId="0" xfId="6" applyNumberFormat="1" applyFont="1" applyAlignment="1">
      <alignment horizontal="centerContinuous"/>
    </xf>
    <xf numFmtId="166" fontId="29" fillId="0" borderId="0" xfId="4" applyFont="1" applyBorder="1" applyAlignment="1" applyProtection="1">
      <alignment horizontal="centerContinuous"/>
    </xf>
    <xf numFmtId="3" fontId="36" fillId="0" borderId="0" xfId="6" applyNumberFormat="1" applyFont="1" applyAlignment="1">
      <alignment horizontal="centerContinuous"/>
    </xf>
    <xf numFmtId="3" fontId="14" fillId="0" borderId="5" xfId="6" applyNumberFormat="1" applyFont="1" applyBorder="1" applyAlignment="1">
      <alignment horizontal="left"/>
    </xf>
    <xf numFmtId="168" fontId="12" fillId="9" borderId="17" xfId="6" applyNumberFormat="1" applyFont="1" applyFill="1" applyBorder="1" applyAlignment="1">
      <alignment vertical="center"/>
    </xf>
    <xf numFmtId="3" fontId="16" fillId="0" borderId="37" xfId="6" applyNumberFormat="1" applyFont="1" applyBorder="1"/>
    <xf numFmtId="4" fontId="55" fillId="0" borderId="16" xfId="0" applyNumberFormat="1" applyFont="1" applyBorder="1"/>
    <xf numFmtId="3" fontId="55" fillId="0" borderId="0" xfId="0" applyNumberFormat="1" applyFont="1"/>
    <xf numFmtId="3" fontId="29" fillId="0" borderId="1" xfId="6" applyNumberFormat="1" applyFont="1" applyBorder="1"/>
    <xf numFmtId="3" fontId="29" fillId="0" borderId="2" xfId="6" applyNumberFormat="1" applyFont="1" applyBorder="1" applyAlignment="1">
      <alignment horizontal="centerContinuous"/>
    </xf>
    <xf numFmtId="3" fontId="29" fillId="0" borderId="2" xfId="6" applyNumberFormat="1" applyFont="1" applyBorder="1"/>
    <xf numFmtId="4" fontId="29" fillId="0" borderId="2" xfId="6" applyNumberFormat="1" applyFont="1" applyBorder="1"/>
    <xf numFmtId="166" fontId="29" fillId="0" borderId="2" xfId="4" applyFont="1" applyBorder="1" applyProtection="1"/>
    <xf numFmtId="3" fontId="36" fillId="0" borderId="2" xfId="6" applyNumberFormat="1" applyFont="1" applyBorder="1"/>
    <xf numFmtId="3" fontId="29" fillId="0" borderId="2" xfId="6" applyNumberFormat="1" applyFont="1" applyBorder="1" applyAlignment="1">
      <alignment horizontal="center"/>
    </xf>
    <xf numFmtId="3" fontId="29" fillId="0" borderId="8" xfId="6" applyNumberFormat="1" applyFont="1" applyBorder="1" applyAlignment="1">
      <alignment horizontal="center"/>
    </xf>
    <xf numFmtId="4" fontId="29" fillId="0" borderId="0" xfId="6" applyNumberFormat="1" applyFont="1"/>
    <xf numFmtId="166" fontId="29" fillId="0" borderId="0" xfId="4" applyFont="1" applyBorder="1" applyProtection="1"/>
    <xf numFmtId="3" fontId="36" fillId="0" borderId="0" xfId="6" applyNumberFormat="1" applyFont="1"/>
    <xf numFmtId="3" fontId="29" fillId="0" borderId="16" xfId="6" applyNumberFormat="1" applyFont="1" applyBorder="1" applyAlignment="1">
      <alignment horizontal="center"/>
    </xf>
    <xf numFmtId="3" fontId="8" fillId="0" borderId="0" xfId="0" applyNumberFormat="1" applyFont="1" applyAlignment="1" applyProtection="1">
      <alignment horizontal="center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166" fontId="6" fillId="0" borderId="0" xfId="4" applyFont="1" applyBorder="1" applyProtection="1">
      <protection locked="0"/>
    </xf>
    <xf numFmtId="3" fontId="29" fillId="0" borderId="0" xfId="6" applyNumberFormat="1" applyFont="1" applyAlignment="1" applyProtection="1">
      <alignment horizontal="center"/>
      <protection locked="0"/>
    </xf>
    <xf numFmtId="3" fontId="29" fillId="0" borderId="16" xfId="6" applyNumberFormat="1" applyFont="1" applyBorder="1" applyAlignment="1" applyProtection="1">
      <alignment horizontal="center"/>
      <protection locked="0"/>
    </xf>
    <xf numFmtId="10" fontId="29" fillId="0" borderId="0" xfId="5" applyNumberFormat="1" applyFont="1" applyBorder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186" fontId="1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29" fillId="0" borderId="9" xfId="0" applyFont="1" applyBorder="1" applyProtection="1">
      <protection locked="0"/>
    </xf>
    <xf numFmtId="4" fontId="6" fillId="0" borderId="0" xfId="0" applyNumberFormat="1" applyFont="1" applyProtection="1">
      <protection locked="0"/>
    </xf>
    <xf numFmtId="3" fontId="6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3" fontId="6" fillId="0" borderId="13" xfId="0" applyNumberFormat="1" applyFont="1" applyBorder="1"/>
    <xf numFmtId="3" fontId="6" fillId="0" borderId="14" xfId="0" applyNumberFormat="1" applyFont="1" applyBorder="1"/>
    <xf numFmtId="4" fontId="6" fillId="0" borderId="14" xfId="0" applyNumberFormat="1" applyFont="1" applyBorder="1"/>
    <xf numFmtId="3" fontId="8" fillId="0" borderId="14" xfId="0" applyNumberFormat="1" applyFont="1" applyBorder="1"/>
    <xf numFmtId="3" fontId="6" fillId="0" borderId="14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/>
    </xf>
    <xf numFmtId="4" fontId="6" fillId="0" borderId="15" xfId="0" applyNumberFormat="1" applyFont="1" applyBorder="1"/>
    <xf numFmtId="166" fontId="6" fillId="0" borderId="0" xfId="4" applyFont="1" applyProtection="1"/>
    <xf numFmtId="10" fontId="6" fillId="0" borderId="0" xfId="0" applyNumberFormat="1" applyFont="1"/>
    <xf numFmtId="0" fontId="29" fillId="13" borderId="39" xfId="0" applyFont="1" applyFill="1" applyBorder="1" applyAlignment="1">
      <alignment horizontal="center" vertical="center" wrapText="1"/>
    </xf>
    <xf numFmtId="3" fontId="29" fillId="0" borderId="39" xfId="0" applyNumberFormat="1" applyFont="1" applyBorder="1" applyAlignment="1" applyProtection="1">
      <alignment horizontal="center" vertical="center" wrapText="1"/>
      <protection hidden="1"/>
    </xf>
    <xf numFmtId="3" fontId="29" fillId="0" borderId="39" xfId="0" applyNumberFormat="1" applyFont="1" applyBorder="1" applyAlignment="1" applyProtection="1">
      <alignment horizontal="centerContinuous" vertical="center" wrapText="1"/>
      <protection hidden="1"/>
    </xf>
    <xf numFmtId="3" fontId="29" fillId="0" borderId="39" xfId="6" quotePrefix="1" applyNumberFormat="1" applyFont="1" applyBorder="1" applyAlignment="1" applyProtection="1">
      <alignment horizontal="center"/>
      <protection hidden="1"/>
    </xf>
    <xf numFmtId="3" fontId="1" fillId="3" borderId="35" xfId="6" applyNumberFormat="1" applyFont="1" applyFill="1" applyBorder="1" applyProtection="1">
      <protection hidden="1"/>
    </xf>
    <xf numFmtId="3" fontId="1" fillId="3" borderId="5" xfId="6" applyNumberFormat="1" applyFont="1" applyFill="1" applyBorder="1" applyProtection="1">
      <protection hidden="1"/>
    </xf>
    <xf numFmtId="3" fontId="1" fillId="3" borderId="36" xfId="6" applyNumberFormat="1" applyFont="1" applyFill="1" applyBorder="1" applyProtection="1">
      <protection hidden="1"/>
    </xf>
    <xf numFmtId="173" fontId="0" fillId="3" borderId="39" xfId="6" applyNumberFormat="1" applyFont="1" applyFill="1" applyBorder="1" applyProtection="1">
      <protection hidden="1"/>
    </xf>
    <xf numFmtId="3" fontId="29" fillId="0" borderId="39" xfId="6" applyNumberFormat="1" applyFont="1" applyBorder="1" applyAlignment="1" applyProtection="1">
      <alignment horizontal="center"/>
      <protection hidden="1"/>
    </xf>
    <xf numFmtId="173" fontId="29" fillId="0" borderId="39" xfId="4" applyNumberFormat="1" applyFont="1" applyFill="1" applyBorder="1" applyProtection="1">
      <protection hidden="1"/>
    </xf>
    <xf numFmtId="3" fontId="29" fillId="0" borderId="9" xfId="6" applyNumberFormat="1" applyFont="1" applyBorder="1" applyProtection="1">
      <protection hidden="1"/>
    </xf>
    <xf numFmtId="3" fontId="29" fillId="0" borderId="0" xfId="6" applyNumberFormat="1" applyFont="1" applyAlignment="1" applyProtection="1">
      <alignment horizontal="centerContinuous"/>
      <protection hidden="1"/>
    </xf>
    <xf numFmtId="3" fontId="8" fillId="0" borderId="0" xfId="0" applyNumberFormat="1" applyFont="1" applyAlignment="1" applyProtection="1">
      <alignment horizontal="center"/>
      <protection hidden="1"/>
    </xf>
    <xf numFmtId="4" fontId="6" fillId="0" borderId="0" xfId="0" applyNumberFormat="1" applyFont="1" applyAlignment="1" applyProtection="1">
      <alignment horizontal="right"/>
      <protection hidden="1"/>
    </xf>
    <xf numFmtId="4" fontId="29" fillId="0" borderId="0" xfId="6" applyNumberFormat="1" applyFont="1" applyProtection="1">
      <protection hidden="1"/>
    </xf>
    <xf numFmtId="3" fontId="29" fillId="0" borderId="0" xfId="6" applyNumberFormat="1" applyFont="1" applyProtection="1">
      <protection hidden="1"/>
    </xf>
    <xf numFmtId="164" fontId="0" fillId="0" borderId="0" xfId="0" applyNumberFormat="1"/>
    <xf numFmtId="173" fontId="59" fillId="0" borderId="39" xfId="4" applyNumberFormat="1" applyFont="1" applyFill="1" applyBorder="1" applyProtection="1">
      <protection hidden="1"/>
    </xf>
    <xf numFmtId="173" fontId="29" fillId="12" borderId="39" xfId="4" applyNumberFormat="1" applyFont="1" applyFill="1" applyBorder="1" applyProtection="1">
      <protection hidden="1"/>
    </xf>
    <xf numFmtId="175" fontId="0" fillId="0" borderId="0" xfId="1" applyFont="1"/>
    <xf numFmtId="3" fontId="29" fillId="0" borderId="16" xfId="6" applyNumberFormat="1" applyFont="1" applyBorder="1"/>
    <xf numFmtId="183" fontId="29" fillId="0" borderId="0" xfId="6" applyNumberFormat="1" applyFont="1" applyAlignment="1">
      <alignment horizontal="centerContinuous"/>
    </xf>
    <xf numFmtId="0" fontId="29" fillId="0" borderId="9" xfId="0" applyFont="1" applyBorder="1"/>
    <xf numFmtId="0" fontId="66" fillId="0" borderId="0" xfId="0" applyFont="1" applyAlignment="1">
      <alignment horizontal="center" vertical="center"/>
    </xf>
    <xf numFmtId="4" fontId="65" fillId="0" borderId="0" xfId="0" applyNumberFormat="1" applyFont="1" applyAlignment="1">
      <alignment horizontal="right" vertical="center"/>
    </xf>
    <xf numFmtId="0" fontId="1" fillId="0" borderId="16" xfId="0" applyFont="1" applyBorder="1"/>
    <xf numFmtId="3" fontId="6" fillId="0" borderId="16" xfId="0" applyNumberFormat="1" applyFont="1" applyBorder="1"/>
    <xf numFmtId="0" fontId="66" fillId="0" borderId="14" xfId="0" applyFont="1" applyBorder="1" applyAlignment="1">
      <alignment horizontal="center" vertical="center"/>
    </xf>
    <xf numFmtId="4" fontId="65" fillId="0" borderId="14" xfId="0" applyNumberFormat="1" applyFont="1" applyBorder="1" applyAlignment="1">
      <alignment horizontal="right" vertical="center"/>
    </xf>
    <xf numFmtId="3" fontId="6" fillId="0" borderId="15" xfId="0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2" fillId="0" borderId="9" xfId="6" applyNumberFormat="1" applyFont="1" applyBorder="1" applyAlignment="1">
      <alignment horizontal="center"/>
    </xf>
    <xf numFmtId="3" fontId="2" fillId="0" borderId="0" xfId="6" applyNumberFormat="1" applyFont="1" applyAlignment="1">
      <alignment horizontal="center"/>
    </xf>
    <xf numFmtId="3" fontId="2" fillId="0" borderId="16" xfId="6" applyNumberFormat="1" applyFont="1" applyBorder="1" applyAlignment="1">
      <alignment horizontal="center"/>
    </xf>
    <xf numFmtId="3" fontId="15" fillId="2" borderId="18" xfId="6" applyNumberFormat="1" applyFont="1" applyFill="1" applyBorder="1" applyAlignment="1" applyProtection="1">
      <alignment horizontal="center" vertical="center"/>
      <protection locked="0"/>
    </xf>
    <xf numFmtId="3" fontId="15" fillId="2" borderId="19" xfId="6" applyNumberFormat="1" applyFont="1" applyFill="1" applyBorder="1" applyAlignment="1" applyProtection="1">
      <alignment horizontal="center" vertical="center"/>
      <protection locked="0"/>
    </xf>
    <xf numFmtId="166" fontId="16" fillId="3" borderId="18" xfId="4" applyFont="1" applyFill="1" applyBorder="1" applyAlignment="1" applyProtection="1">
      <alignment horizontal="center" vertical="center"/>
      <protection locked="0"/>
    </xf>
    <xf numFmtId="166" fontId="16" fillId="3" borderId="20" xfId="4" applyFont="1" applyFill="1" applyBorder="1" applyAlignment="1" applyProtection="1">
      <alignment horizontal="center" vertical="center"/>
      <protection locked="0"/>
    </xf>
    <xf numFmtId="166" fontId="16" fillId="3" borderId="19" xfId="4" applyFont="1" applyFill="1" applyBorder="1" applyAlignment="1" applyProtection="1">
      <alignment horizontal="center" vertical="center"/>
      <protection locked="0"/>
    </xf>
    <xf numFmtId="0" fontId="16" fillId="0" borderId="0" xfId="6" applyNumberFormat="1" applyFont="1" applyAlignment="1">
      <alignment horizontal="left" vertical="center"/>
    </xf>
    <xf numFmtId="3" fontId="14" fillId="0" borderId="0" xfId="0" applyNumberFormat="1" applyFont="1" applyAlignment="1">
      <alignment horizontal="left"/>
    </xf>
    <xf numFmtId="168" fontId="7" fillId="2" borderId="18" xfId="6" applyNumberFormat="1" applyFont="1" applyFill="1" applyBorder="1" applyAlignment="1" applyProtection="1">
      <alignment horizontal="center"/>
      <protection locked="0"/>
    </xf>
    <xf numFmtId="168" fontId="7" fillId="2" borderId="19" xfId="6" applyNumberFormat="1" applyFont="1" applyFill="1" applyBorder="1" applyAlignment="1" applyProtection="1">
      <alignment horizontal="center"/>
      <protection locked="0"/>
    </xf>
    <xf numFmtId="169" fontId="16" fillId="2" borderId="18" xfId="0" applyNumberFormat="1" applyFont="1" applyFill="1" applyBorder="1" applyAlignment="1" applyProtection="1">
      <alignment horizontal="left" vertical="center"/>
      <protection locked="0"/>
    </xf>
    <xf numFmtId="169" fontId="16" fillId="2" borderId="19" xfId="0" applyNumberFormat="1" applyFont="1" applyFill="1" applyBorder="1" applyAlignment="1" applyProtection="1">
      <alignment horizontal="left" vertical="center"/>
      <protection locked="0"/>
    </xf>
    <xf numFmtId="3" fontId="5" fillId="2" borderId="18" xfId="6" applyNumberFormat="1" applyFont="1" applyFill="1" applyBorder="1" applyAlignment="1" applyProtection="1">
      <alignment horizontal="left" vertical="center"/>
      <protection locked="0"/>
    </xf>
    <xf numFmtId="3" fontId="5" fillId="2" borderId="20" xfId="6" applyNumberFormat="1" applyFont="1" applyFill="1" applyBorder="1" applyAlignment="1" applyProtection="1">
      <alignment horizontal="left" vertical="center"/>
      <protection locked="0"/>
    </xf>
    <xf numFmtId="3" fontId="5" fillId="2" borderId="19" xfId="6" applyNumberFormat="1" applyFont="1" applyFill="1" applyBorder="1" applyAlignment="1" applyProtection="1">
      <alignment horizontal="left" vertical="center"/>
      <protection locked="0"/>
    </xf>
    <xf numFmtId="167" fontId="15" fillId="2" borderId="18" xfId="3" applyFont="1" applyFill="1" applyBorder="1" applyAlignment="1" applyProtection="1">
      <alignment horizontal="center"/>
      <protection locked="0"/>
    </xf>
    <xf numFmtId="167" fontId="15" fillId="2" borderId="19" xfId="3" applyFont="1" applyFill="1" applyBorder="1" applyAlignment="1" applyProtection="1">
      <alignment horizontal="center"/>
      <protection locked="0"/>
    </xf>
    <xf numFmtId="3" fontId="14" fillId="0" borderId="0" xfId="6" applyNumberFormat="1" applyFont="1" applyAlignment="1">
      <alignment horizontal="center" vertical="center"/>
    </xf>
    <xf numFmtId="3" fontId="23" fillId="2" borderId="21" xfId="6" applyNumberFormat="1" applyFont="1" applyFill="1" applyBorder="1" applyAlignment="1" applyProtection="1">
      <alignment horizontal="left" vertical="center" wrapText="1"/>
      <protection locked="0"/>
    </xf>
    <xf numFmtId="3" fontId="23" fillId="2" borderId="22" xfId="6" applyNumberFormat="1" applyFont="1" applyFill="1" applyBorder="1" applyAlignment="1" applyProtection="1">
      <alignment horizontal="left" vertical="center" wrapText="1"/>
      <protection locked="0"/>
    </xf>
    <xf numFmtId="3" fontId="23" fillId="2" borderId="23" xfId="6" applyNumberFormat="1" applyFont="1" applyFill="1" applyBorder="1" applyAlignment="1" applyProtection="1">
      <alignment horizontal="left" vertical="center" wrapText="1"/>
      <protection locked="0"/>
    </xf>
    <xf numFmtId="3" fontId="23" fillId="2" borderId="24" xfId="6" applyNumberFormat="1" applyFont="1" applyFill="1" applyBorder="1" applyAlignment="1" applyProtection="1">
      <alignment horizontal="left" vertical="center" wrapText="1"/>
      <protection locked="0"/>
    </xf>
    <xf numFmtId="3" fontId="23" fillId="2" borderId="0" xfId="6" applyNumberFormat="1" applyFont="1" applyFill="1" applyAlignment="1" applyProtection="1">
      <alignment horizontal="left" vertical="center" wrapText="1"/>
      <protection locked="0"/>
    </xf>
    <xf numFmtId="3" fontId="23" fillId="2" borderId="25" xfId="6" applyNumberFormat="1" applyFont="1" applyFill="1" applyBorder="1" applyAlignment="1" applyProtection="1">
      <alignment horizontal="left" vertical="center" wrapText="1"/>
      <protection locked="0"/>
    </xf>
    <xf numFmtId="3" fontId="23" fillId="2" borderId="26" xfId="6" applyNumberFormat="1" applyFont="1" applyFill="1" applyBorder="1" applyAlignment="1" applyProtection="1">
      <alignment horizontal="left" vertical="center" wrapText="1"/>
      <protection locked="0"/>
    </xf>
    <xf numFmtId="3" fontId="23" fillId="2" borderId="27" xfId="6" applyNumberFormat="1" applyFont="1" applyFill="1" applyBorder="1" applyAlignment="1" applyProtection="1">
      <alignment horizontal="left" vertical="center" wrapText="1"/>
      <protection locked="0"/>
    </xf>
    <xf numFmtId="3" fontId="23" fillId="2" borderId="28" xfId="6" applyNumberFormat="1" applyFont="1" applyFill="1" applyBorder="1" applyAlignment="1" applyProtection="1">
      <alignment horizontal="left" vertical="center" wrapText="1"/>
      <protection locked="0"/>
    </xf>
    <xf numFmtId="3" fontId="5" fillId="2" borderId="18" xfId="0" applyNumberFormat="1" applyFont="1" applyFill="1" applyBorder="1" applyAlignment="1" applyProtection="1">
      <alignment horizontal="left" vertical="center" wrapText="1"/>
      <protection locked="0"/>
    </xf>
    <xf numFmtId="3" fontId="5" fillId="2" borderId="20" xfId="0" applyNumberFormat="1" applyFont="1" applyFill="1" applyBorder="1" applyAlignment="1" applyProtection="1">
      <alignment horizontal="left" vertical="center" wrapText="1"/>
      <protection locked="0"/>
    </xf>
    <xf numFmtId="3" fontId="5" fillId="2" borderId="19" xfId="0" applyNumberFormat="1" applyFont="1" applyFill="1" applyBorder="1" applyAlignment="1" applyProtection="1">
      <alignment horizontal="left" vertical="center" wrapText="1"/>
      <protection locked="0"/>
    </xf>
    <xf numFmtId="49" fontId="25" fillId="0" borderId="0" xfId="0" applyNumberFormat="1" applyFont="1" applyAlignment="1">
      <alignment horizontal="left" vertical="center"/>
    </xf>
    <xf numFmtId="4" fontId="14" fillId="0" borderId="0" xfId="6" applyNumberFormat="1" applyFont="1" applyAlignment="1">
      <alignment horizontal="left" vertical="center"/>
    </xf>
    <xf numFmtId="3" fontId="16" fillId="2" borderId="18" xfId="0" applyNumberFormat="1" applyFont="1" applyFill="1" applyBorder="1" applyAlignment="1" applyProtection="1">
      <alignment horizontal="center" vertical="center" wrapText="1"/>
      <protection locked="0"/>
    </xf>
    <xf numFmtId="3" fontId="16" fillId="2" borderId="19" xfId="0" applyNumberFormat="1" applyFont="1" applyFill="1" applyBorder="1" applyAlignment="1" applyProtection="1">
      <alignment horizontal="center" vertical="center" wrapText="1"/>
      <protection locked="0"/>
    </xf>
    <xf numFmtId="3" fontId="19" fillId="2" borderId="18" xfId="0" applyNumberFormat="1" applyFont="1" applyFill="1" applyBorder="1" applyAlignment="1" applyProtection="1">
      <alignment horizontal="left" vertical="center"/>
      <protection locked="0"/>
    </xf>
    <xf numFmtId="3" fontId="19" fillId="2" borderId="19" xfId="0" applyNumberFormat="1" applyFont="1" applyFill="1" applyBorder="1" applyAlignment="1" applyProtection="1">
      <alignment horizontal="left" vertical="center"/>
      <protection locked="0"/>
    </xf>
    <xf numFmtId="49" fontId="27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left" vertical="center"/>
    </xf>
    <xf numFmtId="167" fontId="16" fillId="2" borderId="31" xfId="3" applyFont="1" applyFill="1" applyBorder="1" applyAlignment="1" applyProtection="1">
      <alignment horizontal="center"/>
      <protection locked="0"/>
    </xf>
    <xf numFmtId="167" fontId="16" fillId="2" borderId="32" xfId="3" applyFont="1" applyFill="1" applyBorder="1" applyAlignment="1" applyProtection="1">
      <alignment horizontal="center"/>
      <protection locked="0"/>
    </xf>
    <xf numFmtId="3" fontId="17" fillId="2" borderId="18" xfId="0" applyNumberFormat="1" applyFont="1" applyFill="1" applyBorder="1" applyAlignment="1" applyProtection="1">
      <alignment horizontal="left" vertical="center"/>
      <protection locked="0"/>
    </xf>
    <xf numFmtId="3" fontId="17" fillId="2" borderId="19" xfId="0" applyNumberFormat="1" applyFont="1" applyFill="1" applyBorder="1" applyAlignment="1" applyProtection="1">
      <alignment horizontal="left" vertical="center"/>
      <protection locked="0"/>
    </xf>
    <xf numFmtId="167" fontId="16" fillId="2" borderId="33" xfId="3" applyFont="1" applyFill="1" applyBorder="1" applyAlignment="1" applyProtection="1">
      <alignment horizontal="center"/>
      <protection locked="0"/>
    </xf>
    <xf numFmtId="167" fontId="16" fillId="2" borderId="34" xfId="3" applyFont="1" applyFill="1" applyBorder="1" applyAlignment="1" applyProtection="1">
      <alignment horizontal="center"/>
      <protection locked="0"/>
    </xf>
    <xf numFmtId="3" fontId="16" fillId="0" borderId="0" xfId="0" applyNumberFormat="1" applyFont="1" applyAlignment="1">
      <alignment horizontal="left" vertical="center" wrapText="1"/>
    </xf>
    <xf numFmtId="167" fontId="16" fillId="2" borderId="29" xfId="3" applyFont="1" applyFill="1" applyBorder="1" applyAlignment="1" applyProtection="1">
      <alignment horizontal="center"/>
      <protection locked="0"/>
    </xf>
    <xf numFmtId="167" fontId="16" fillId="2" borderId="30" xfId="3" applyFont="1" applyFill="1" applyBorder="1" applyAlignment="1" applyProtection="1">
      <alignment horizontal="center"/>
      <protection locked="0"/>
    </xf>
    <xf numFmtId="169" fontId="16" fillId="2" borderId="18" xfId="0" applyNumberFormat="1" applyFont="1" applyFill="1" applyBorder="1" applyAlignment="1" applyProtection="1">
      <alignment horizontal="left" vertical="center" wrapText="1"/>
      <protection locked="0"/>
    </xf>
    <xf numFmtId="169" fontId="16" fillId="2" borderId="19" xfId="0" applyNumberFormat="1" applyFont="1" applyFill="1" applyBorder="1" applyAlignment="1" applyProtection="1">
      <alignment horizontal="left" vertical="center" wrapText="1"/>
      <protection locked="0"/>
    </xf>
    <xf numFmtId="3" fontId="19" fillId="2" borderId="18" xfId="7" applyNumberFormat="1" applyFont="1" applyFill="1" applyBorder="1" applyAlignment="1" applyProtection="1">
      <alignment horizontal="left" vertical="center"/>
      <protection locked="0"/>
    </xf>
    <xf numFmtId="3" fontId="19" fillId="2" borderId="19" xfId="7" applyNumberFormat="1" applyFont="1" applyFill="1" applyBorder="1" applyAlignment="1" applyProtection="1">
      <alignment horizontal="left" vertical="center"/>
      <protection locked="0"/>
    </xf>
    <xf numFmtId="3" fontId="7" fillId="0" borderId="18" xfId="0" applyNumberFormat="1" applyFont="1" applyBorder="1" applyAlignment="1">
      <alignment horizontal="center" vertical="center"/>
    </xf>
    <xf numFmtId="3" fontId="7" fillId="0" borderId="20" xfId="0" applyNumberFormat="1" applyFont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 vertical="center"/>
    </xf>
    <xf numFmtId="168" fontId="7" fillId="0" borderId="18" xfId="6" applyNumberFormat="1" applyFont="1" applyBorder="1" applyAlignment="1">
      <alignment horizontal="center" vertical="center"/>
    </xf>
    <xf numFmtId="168" fontId="7" fillId="0" borderId="19" xfId="6" applyNumberFormat="1" applyFont="1" applyBorder="1" applyAlignment="1">
      <alignment horizontal="center" vertical="center"/>
    </xf>
    <xf numFmtId="3" fontId="3" fillId="5" borderId="35" xfId="0" applyNumberFormat="1" applyFont="1" applyFill="1" applyBorder="1" applyAlignment="1" applyProtection="1">
      <alignment horizontal="center" vertical="center"/>
      <protection locked="0"/>
    </xf>
    <xf numFmtId="3" fontId="3" fillId="5" borderId="5" xfId="0" applyNumberFormat="1" applyFont="1" applyFill="1" applyBorder="1" applyAlignment="1" applyProtection="1">
      <alignment horizontal="center" vertical="center"/>
      <protection locked="0"/>
    </xf>
    <xf numFmtId="3" fontId="3" fillId="5" borderId="36" xfId="0" applyNumberFormat="1" applyFont="1" applyFill="1" applyBorder="1" applyAlignment="1" applyProtection="1">
      <alignment horizontal="center" vertical="center"/>
      <protection locked="0"/>
    </xf>
    <xf numFmtId="4" fontId="3" fillId="5" borderId="35" xfId="0" applyNumberFormat="1" applyFont="1" applyFill="1" applyBorder="1" applyAlignment="1" applyProtection="1">
      <alignment horizontal="center" vertical="center"/>
      <protection locked="0"/>
    </xf>
    <xf numFmtId="4" fontId="3" fillId="5" borderId="5" xfId="0" applyNumberFormat="1" applyFont="1" applyFill="1" applyBorder="1" applyAlignment="1" applyProtection="1">
      <alignment horizontal="center" vertical="center"/>
      <protection locked="0"/>
    </xf>
    <xf numFmtId="4" fontId="3" fillId="5" borderId="36" xfId="0" applyNumberFormat="1" applyFont="1" applyFill="1" applyBorder="1" applyAlignment="1" applyProtection="1">
      <alignment horizontal="center" vertical="center"/>
      <protection locked="0"/>
    </xf>
    <xf numFmtId="3" fontId="34" fillId="3" borderId="21" xfId="0" applyNumberFormat="1" applyFont="1" applyFill="1" applyBorder="1" applyAlignment="1" applyProtection="1">
      <alignment horizontal="left" vertical="center"/>
      <protection locked="0"/>
    </xf>
    <xf numFmtId="3" fontId="34" fillId="3" borderId="22" xfId="0" applyNumberFormat="1" applyFont="1" applyFill="1" applyBorder="1" applyAlignment="1" applyProtection="1">
      <alignment horizontal="left" vertical="center"/>
      <protection locked="0"/>
    </xf>
    <xf numFmtId="3" fontId="34" fillId="3" borderId="23" xfId="0" applyNumberFormat="1" applyFont="1" applyFill="1" applyBorder="1" applyAlignment="1" applyProtection="1">
      <alignment horizontal="left" vertical="center"/>
      <protection locked="0"/>
    </xf>
    <xf numFmtId="4" fontId="29" fillId="3" borderId="35" xfId="0" applyNumberFormat="1" applyFont="1" applyFill="1" applyBorder="1" applyAlignment="1" applyProtection="1">
      <alignment horizontal="center" vertical="center"/>
      <protection locked="0"/>
    </xf>
    <xf numFmtId="4" fontId="29" fillId="3" borderId="36" xfId="0" applyNumberFormat="1" applyFont="1" applyFill="1" applyBorder="1" applyAlignment="1" applyProtection="1">
      <alignment horizontal="center" vertical="center"/>
      <protection locked="0"/>
    </xf>
    <xf numFmtId="3" fontId="29" fillId="3" borderId="35" xfId="0" applyNumberFormat="1" applyFont="1" applyFill="1" applyBorder="1" applyAlignment="1" applyProtection="1">
      <alignment horizontal="center" vertical="center"/>
      <protection locked="0"/>
    </xf>
    <xf numFmtId="3" fontId="29" fillId="3" borderId="36" xfId="0" applyNumberFormat="1" applyFont="1" applyFill="1" applyBorder="1" applyAlignment="1" applyProtection="1">
      <alignment horizontal="center" vertical="center"/>
      <protection locked="0"/>
    </xf>
    <xf numFmtId="3" fontId="29" fillId="3" borderId="5" xfId="0" applyNumberFormat="1" applyFont="1" applyFill="1" applyBorder="1" applyAlignment="1" applyProtection="1">
      <alignment horizontal="center" vertical="center"/>
      <protection locked="0"/>
    </xf>
    <xf numFmtId="0" fontId="29" fillId="0" borderId="9" xfId="0" applyFont="1" applyBorder="1" applyAlignment="1">
      <alignment horizontal="center"/>
    </xf>
    <xf numFmtId="0" fontId="29" fillId="0" borderId="0" xfId="0" applyFont="1" applyAlignment="1">
      <alignment horizontal="center"/>
    </xf>
    <xf numFmtId="3" fontId="20" fillId="0" borderId="0" xfId="6" applyNumberFormat="1" applyFont="1" applyAlignment="1" applyProtection="1">
      <alignment horizontal="left" vertical="center"/>
      <protection locked="0"/>
    </xf>
    <xf numFmtId="168" fontId="7" fillId="2" borderId="21" xfId="6" applyNumberFormat="1" applyFont="1" applyFill="1" applyBorder="1" applyAlignment="1" applyProtection="1">
      <alignment horizontal="center" vertical="center" wrapText="1"/>
      <protection locked="0"/>
    </xf>
    <xf numFmtId="168" fontId="7" fillId="2" borderId="22" xfId="6" applyNumberFormat="1" applyFont="1" applyFill="1" applyBorder="1" applyAlignment="1" applyProtection="1">
      <alignment horizontal="center" vertical="center" wrapText="1"/>
      <protection locked="0"/>
    </xf>
    <xf numFmtId="168" fontId="7" fillId="2" borderId="23" xfId="6" applyNumberFormat="1" applyFont="1" applyFill="1" applyBorder="1" applyAlignment="1" applyProtection="1">
      <alignment horizontal="center" vertical="center" wrapText="1"/>
      <protection locked="0"/>
    </xf>
    <xf numFmtId="168" fontId="7" fillId="2" borderId="26" xfId="6" applyNumberFormat="1" applyFont="1" applyFill="1" applyBorder="1" applyAlignment="1" applyProtection="1">
      <alignment horizontal="center" vertical="center" wrapText="1"/>
      <protection locked="0"/>
    </xf>
    <xf numFmtId="168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168" fontId="7" fillId="2" borderId="28" xfId="6" applyNumberFormat="1" applyFont="1" applyFill="1" applyBorder="1" applyAlignment="1" applyProtection="1">
      <alignment horizontal="center" vertical="center" wrapText="1"/>
      <protection locked="0"/>
    </xf>
    <xf numFmtId="49" fontId="29" fillId="0" borderId="0" xfId="6" applyNumberFormat="1" applyFont="1" applyAlignment="1">
      <alignment horizontal="center" vertical="center"/>
    </xf>
    <xf numFmtId="0" fontId="37" fillId="0" borderId="35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7" fillId="0" borderId="36" xfId="0" applyFont="1" applyBorder="1" applyAlignment="1">
      <alignment horizontal="left" vertical="center" wrapText="1"/>
    </xf>
    <xf numFmtId="3" fontId="35" fillId="7" borderId="13" xfId="0" applyNumberFormat="1" applyFont="1" applyFill="1" applyBorder="1" applyAlignment="1" applyProtection="1">
      <alignment horizontal="left" vertical="center" wrapText="1"/>
      <protection locked="0"/>
    </xf>
    <xf numFmtId="3" fontId="35" fillId="7" borderId="14" xfId="0" applyNumberFormat="1" applyFont="1" applyFill="1" applyBorder="1" applyAlignment="1" applyProtection="1">
      <alignment horizontal="left" vertical="center" wrapText="1"/>
      <protection locked="0"/>
    </xf>
    <xf numFmtId="3" fontId="35" fillId="7" borderId="15" xfId="0" applyNumberFormat="1" applyFont="1" applyFill="1" applyBorder="1" applyAlignment="1" applyProtection="1">
      <alignment horizontal="left" vertical="center" wrapText="1"/>
      <protection locked="0"/>
    </xf>
    <xf numFmtId="174" fontId="1" fillId="0" borderId="35" xfId="6" applyNumberFormat="1" applyFont="1" applyBorder="1" applyAlignment="1" applyProtection="1">
      <alignment horizontal="center" vertical="center"/>
      <protection locked="0"/>
    </xf>
    <xf numFmtId="174" fontId="1" fillId="0" borderId="36" xfId="6" applyNumberFormat="1" applyFont="1" applyBorder="1" applyAlignment="1" applyProtection="1">
      <alignment horizontal="center" vertical="center"/>
      <protection locked="0"/>
    </xf>
    <xf numFmtId="3" fontId="35" fillId="0" borderId="35" xfId="0" applyNumberFormat="1" applyFont="1" applyBorder="1" applyAlignment="1" applyProtection="1">
      <alignment horizontal="left" vertical="center" wrapText="1"/>
      <protection locked="0"/>
    </xf>
    <xf numFmtId="3" fontId="35" fillId="0" borderId="5" xfId="0" applyNumberFormat="1" applyFont="1" applyBorder="1" applyAlignment="1" applyProtection="1">
      <alignment horizontal="left" vertical="center" wrapText="1"/>
      <protection locked="0"/>
    </xf>
    <xf numFmtId="3" fontId="35" fillId="0" borderId="36" xfId="0" applyNumberFormat="1" applyFont="1" applyBorder="1" applyAlignment="1" applyProtection="1">
      <alignment horizontal="left" vertical="center" wrapText="1"/>
      <protection locked="0"/>
    </xf>
    <xf numFmtId="1" fontId="35" fillId="8" borderId="35" xfId="8" applyNumberFormat="1" applyFont="1" applyFill="1" applyBorder="1" applyAlignment="1" applyProtection="1">
      <alignment horizontal="center" vertical="center"/>
      <protection locked="0"/>
    </xf>
    <xf numFmtId="1" fontId="35" fillId="8" borderId="5" xfId="8" applyNumberFormat="1" applyFont="1" applyFill="1" applyBorder="1" applyAlignment="1" applyProtection="1">
      <alignment horizontal="center" vertical="center"/>
      <protection locked="0"/>
    </xf>
    <xf numFmtId="1" fontId="35" fillId="8" borderId="36" xfId="8" applyNumberFormat="1" applyFont="1" applyFill="1" applyBorder="1" applyAlignment="1" applyProtection="1">
      <alignment horizontal="center" vertical="center"/>
      <protection locked="0"/>
    </xf>
    <xf numFmtId="1" fontId="37" fillId="6" borderId="35" xfId="8" applyNumberFormat="1" applyFont="1" applyFill="1" applyBorder="1" applyAlignment="1" applyProtection="1">
      <alignment horizontal="left" vertical="top"/>
      <protection locked="0"/>
    </xf>
    <xf numFmtId="1" fontId="37" fillId="6" borderId="5" xfId="8" applyNumberFormat="1" applyFont="1" applyFill="1" applyBorder="1" applyAlignment="1" applyProtection="1">
      <alignment horizontal="left" vertical="top"/>
      <protection locked="0"/>
    </xf>
    <xf numFmtId="1" fontId="37" fillId="6" borderId="36" xfId="8" applyNumberFormat="1" applyFont="1" applyFill="1" applyBorder="1" applyAlignment="1" applyProtection="1">
      <alignment horizontal="left" vertical="top"/>
      <protection locked="0"/>
    </xf>
    <xf numFmtId="174" fontId="18" fillId="0" borderId="35" xfId="6" applyNumberFormat="1" applyFont="1" applyBorder="1" applyAlignment="1" applyProtection="1">
      <alignment horizontal="center" vertical="center"/>
      <protection locked="0"/>
    </xf>
    <xf numFmtId="174" fontId="18" fillId="0" borderId="36" xfId="6" applyNumberFormat="1" applyFont="1" applyBorder="1" applyAlignment="1" applyProtection="1">
      <alignment horizontal="center" vertical="center"/>
      <protection locked="0"/>
    </xf>
    <xf numFmtId="3" fontId="29" fillId="0" borderId="35" xfId="0" applyNumberFormat="1" applyFont="1" applyBorder="1" applyAlignment="1" applyProtection="1">
      <alignment horizontal="center"/>
      <protection locked="0"/>
    </xf>
    <xf numFmtId="3" fontId="29" fillId="0" borderId="36" xfId="0" applyNumberFormat="1" applyFont="1" applyBorder="1" applyAlignment="1" applyProtection="1">
      <alignment horizontal="center"/>
      <protection locked="0"/>
    </xf>
    <xf numFmtId="1" fontId="35" fillId="0" borderId="35" xfId="8" applyNumberFormat="1" applyFont="1" applyBorder="1" applyAlignment="1" applyProtection="1">
      <alignment horizontal="left" vertical="center"/>
      <protection locked="0"/>
    </xf>
    <xf numFmtId="1" fontId="35" fillId="0" borderId="5" xfId="8" applyNumberFormat="1" applyFont="1" applyBorder="1" applyAlignment="1" applyProtection="1">
      <alignment horizontal="left" vertical="center"/>
      <protection locked="0"/>
    </xf>
    <xf numFmtId="1" fontId="35" fillId="0" borderId="36" xfId="8" applyNumberFormat="1" applyFont="1" applyBorder="1" applyAlignment="1" applyProtection="1">
      <alignment horizontal="left" vertical="center"/>
      <protection locked="0"/>
    </xf>
    <xf numFmtId="175" fontId="37" fillId="0" borderId="35" xfId="1" applyFont="1" applyFill="1" applyBorder="1" applyAlignment="1" applyProtection="1">
      <alignment horizontal="left" vertical="center"/>
      <protection locked="0"/>
    </xf>
    <xf numFmtId="175" fontId="37" fillId="0" borderId="5" xfId="1" applyFont="1" applyFill="1" applyBorder="1" applyAlignment="1" applyProtection="1">
      <alignment horizontal="left" vertical="center"/>
      <protection locked="0"/>
    </xf>
    <xf numFmtId="175" fontId="37" fillId="0" borderId="36" xfId="1" applyFont="1" applyFill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5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6" borderId="35" xfId="8" applyFont="1" applyFill="1" applyBorder="1" applyAlignment="1" applyProtection="1">
      <alignment horizontal="justify" vertical="center" wrapText="1"/>
      <protection locked="0"/>
    </xf>
    <xf numFmtId="0" fontId="37" fillId="6" borderId="5" xfId="8" applyFont="1" applyFill="1" applyBorder="1" applyAlignment="1" applyProtection="1">
      <alignment horizontal="justify" vertical="center" wrapText="1"/>
      <protection locked="0"/>
    </xf>
    <xf numFmtId="0" fontId="37" fillId="6" borderId="36" xfId="8" applyFont="1" applyFill="1" applyBorder="1" applyAlignment="1" applyProtection="1">
      <alignment horizontal="justify" vertical="center" wrapText="1"/>
      <protection locked="0"/>
    </xf>
    <xf numFmtId="0" fontId="37" fillId="0" borderId="35" xfId="8" applyFont="1" applyBorder="1" applyAlignment="1" applyProtection="1">
      <alignment horizontal="justify" vertical="center" wrapText="1"/>
      <protection locked="0"/>
    </xf>
    <xf numFmtId="0" fontId="37" fillId="0" borderId="5" xfId="8" applyFont="1" applyBorder="1" applyAlignment="1" applyProtection="1">
      <alignment horizontal="justify" vertical="center" wrapText="1"/>
      <protection locked="0"/>
    </xf>
    <xf numFmtId="0" fontId="37" fillId="0" borderId="36" xfId="8" applyFont="1" applyBorder="1" applyAlignment="1" applyProtection="1">
      <alignment horizontal="justify" vertical="center" wrapText="1"/>
      <protection locked="0"/>
    </xf>
    <xf numFmtId="1" fontId="35" fillId="0" borderId="9" xfId="8" applyNumberFormat="1" applyFont="1" applyBorder="1" applyAlignment="1" applyProtection="1">
      <alignment horizontal="left" vertical="center"/>
      <protection locked="0"/>
    </xf>
    <xf numFmtId="1" fontId="35" fillId="0" borderId="0" xfId="8" applyNumberFormat="1" applyFont="1" applyAlignment="1" applyProtection="1">
      <alignment horizontal="left" vertical="center"/>
      <protection locked="0"/>
    </xf>
    <xf numFmtId="1" fontId="35" fillId="0" borderId="16" xfId="8" applyNumberFormat="1" applyFont="1" applyBorder="1" applyAlignment="1" applyProtection="1">
      <alignment horizontal="left" vertical="center"/>
      <protection locked="0"/>
    </xf>
    <xf numFmtId="1" fontId="37" fillId="0" borderId="35" xfId="8" applyNumberFormat="1" applyFont="1" applyBorder="1" applyAlignment="1" applyProtection="1">
      <alignment vertical="center"/>
      <protection locked="0"/>
    </xf>
    <xf numFmtId="1" fontId="37" fillId="0" borderId="5" xfId="8" applyNumberFormat="1" applyFont="1" applyBorder="1" applyAlignment="1" applyProtection="1">
      <alignment vertical="center"/>
      <protection locked="0"/>
    </xf>
    <xf numFmtId="1" fontId="37" fillId="0" borderId="36" xfId="8" applyNumberFormat="1" applyFont="1" applyBorder="1" applyAlignment="1" applyProtection="1">
      <alignment vertical="center"/>
      <protection locked="0"/>
    </xf>
    <xf numFmtId="0" fontId="37" fillId="0" borderId="35" xfId="0" applyFont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37" fillId="0" borderId="36" xfId="0" applyFont="1" applyBorder="1" applyAlignment="1">
      <alignment horizontal="left" vertical="center"/>
    </xf>
    <xf numFmtId="0" fontId="37" fillId="0" borderId="35" xfId="8" applyFont="1" applyBorder="1" applyAlignment="1" applyProtection="1">
      <alignment horizontal="left" vertical="center" wrapText="1"/>
      <protection locked="0"/>
    </xf>
    <xf numFmtId="0" fontId="37" fillId="0" borderId="5" xfId="8" applyFont="1" applyBorder="1" applyAlignment="1" applyProtection="1">
      <alignment horizontal="left" vertical="center" wrapText="1"/>
      <protection locked="0"/>
    </xf>
    <xf numFmtId="0" fontId="37" fillId="0" borderId="36" xfId="8" applyFont="1" applyBorder="1" applyAlignment="1" applyProtection="1">
      <alignment horizontal="left" vertical="center" wrapText="1"/>
      <protection locked="0"/>
    </xf>
    <xf numFmtId="0" fontId="35" fillId="0" borderId="35" xfId="8" applyFont="1" applyBorder="1" applyAlignment="1" applyProtection="1">
      <alignment horizontal="left" vertical="center" wrapText="1"/>
      <protection locked="0"/>
    </xf>
    <xf numFmtId="0" fontId="35" fillId="0" borderId="5" xfId="8" applyFont="1" applyBorder="1" applyAlignment="1" applyProtection="1">
      <alignment horizontal="left" vertical="center" wrapText="1"/>
      <protection locked="0"/>
    </xf>
    <xf numFmtId="0" fontId="35" fillId="0" borderId="36" xfId="8" applyFont="1" applyBorder="1" applyAlignment="1" applyProtection="1">
      <alignment horizontal="left" vertical="center" wrapText="1"/>
      <protection locked="0"/>
    </xf>
    <xf numFmtId="0" fontId="37" fillId="0" borderId="35" xfId="8" applyFont="1" applyBorder="1" applyAlignment="1" applyProtection="1">
      <alignment vertical="center" wrapText="1"/>
      <protection locked="0"/>
    </xf>
    <xf numFmtId="0" fontId="37" fillId="0" borderId="5" xfId="8" applyFont="1" applyBorder="1" applyAlignment="1" applyProtection="1">
      <alignment vertical="center" wrapText="1"/>
      <protection locked="0"/>
    </xf>
    <xf numFmtId="0" fontId="37" fillId="0" borderId="36" xfId="8" applyFont="1" applyBorder="1" applyAlignment="1" applyProtection="1">
      <alignment vertical="center" wrapText="1"/>
      <protection locked="0"/>
    </xf>
    <xf numFmtId="0" fontId="46" fillId="0" borderId="35" xfId="8" applyFont="1" applyBorder="1" applyAlignment="1" applyProtection="1">
      <alignment horizontal="left" vertical="center" wrapText="1"/>
      <protection locked="0"/>
    </xf>
    <xf numFmtId="0" fontId="46" fillId="0" borderId="5" xfId="8" applyFont="1" applyBorder="1" applyAlignment="1" applyProtection="1">
      <alignment horizontal="left" vertical="center" wrapText="1"/>
      <protection locked="0"/>
    </xf>
    <xf numFmtId="0" fontId="46" fillId="0" borderId="36" xfId="8" applyFont="1" applyBorder="1" applyAlignment="1" applyProtection="1">
      <alignment horizontal="left" vertical="center" wrapText="1"/>
      <protection locked="0"/>
    </xf>
    <xf numFmtId="3" fontId="35" fillId="8" borderId="35" xfId="0" applyNumberFormat="1" applyFont="1" applyFill="1" applyBorder="1" applyAlignment="1" applyProtection="1">
      <alignment horizontal="left" vertical="center" wrapText="1"/>
      <protection locked="0"/>
    </xf>
    <xf numFmtId="3" fontId="35" fillId="8" borderId="5" xfId="0" applyNumberFormat="1" applyFont="1" applyFill="1" applyBorder="1" applyAlignment="1" applyProtection="1">
      <alignment horizontal="left" vertical="center" wrapText="1"/>
      <protection locked="0"/>
    </xf>
    <xf numFmtId="3" fontId="35" fillId="8" borderId="36" xfId="0" applyNumberFormat="1" applyFont="1" applyFill="1" applyBorder="1" applyAlignment="1" applyProtection="1">
      <alignment horizontal="left" vertical="center" wrapText="1"/>
      <protection locked="0"/>
    </xf>
    <xf numFmtId="174" fontId="18" fillId="8" borderId="35" xfId="6" applyNumberFormat="1" applyFont="1" applyFill="1" applyBorder="1" applyAlignment="1" applyProtection="1">
      <alignment horizontal="center" vertical="center"/>
      <protection locked="0"/>
    </xf>
    <xf numFmtId="174" fontId="18" fillId="8" borderId="36" xfId="6" applyNumberFormat="1" applyFont="1" applyFill="1" applyBorder="1" applyAlignment="1" applyProtection="1">
      <alignment horizontal="center" vertical="center"/>
      <protection locked="0"/>
    </xf>
    <xf numFmtId="4" fontId="12" fillId="3" borderId="35" xfId="0" applyNumberFormat="1" applyFont="1" applyFill="1" applyBorder="1" applyAlignment="1" applyProtection="1">
      <alignment horizontal="center" vertical="center"/>
      <protection locked="0"/>
    </xf>
    <xf numFmtId="4" fontId="12" fillId="3" borderId="36" xfId="0" applyNumberFormat="1" applyFont="1" applyFill="1" applyBorder="1" applyAlignment="1" applyProtection="1">
      <alignment horizontal="center" vertical="center"/>
      <protection locked="0"/>
    </xf>
    <xf numFmtId="3" fontId="12" fillId="3" borderId="35" xfId="0" applyNumberFormat="1" applyFont="1" applyFill="1" applyBorder="1" applyAlignment="1" applyProtection="1">
      <alignment horizontal="center" vertical="center"/>
      <protection locked="0"/>
    </xf>
    <xf numFmtId="3" fontId="12" fillId="3" borderId="5" xfId="0" applyNumberFormat="1" applyFont="1" applyFill="1" applyBorder="1" applyAlignment="1" applyProtection="1">
      <alignment horizontal="center" vertical="center"/>
      <protection locked="0"/>
    </xf>
    <xf numFmtId="3" fontId="12" fillId="3" borderId="36" xfId="0" applyNumberFormat="1" applyFont="1" applyFill="1" applyBorder="1" applyAlignment="1" applyProtection="1">
      <alignment horizontal="center" vertical="center"/>
      <protection locked="0"/>
    </xf>
    <xf numFmtId="1" fontId="46" fillId="0" borderId="35" xfId="8" applyNumberFormat="1" applyFont="1" applyBorder="1" applyAlignment="1" applyProtection="1">
      <alignment horizontal="left" vertical="center" wrapText="1"/>
      <protection locked="0"/>
    </xf>
    <xf numFmtId="1" fontId="46" fillId="0" borderId="5" xfId="8" applyNumberFormat="1" applyFont="1" applyBorder="1" applyAlignment="1" applyProtection="1">
      <alignment horizontal="left" vertical="center" wrapText="1"/>
      <protection locked="0"/>
    </xf>
    <xf numFmtId="1" fontId="46" fillId="0" borderId="36" xfId="8" applyNumberFormat="1" applyFont="1" applyBorder="1" applyAlignment="1" applyProtection="1">
      <alignment horizontal="left" vertical="center" wrapText="1"/>
      <protection locked="0"/>
    </xf>
    <xf numFmtId="0" fontId="43" fillId="0" borderId="35" xfId="0" applyFont="1" applyBorder="1" applyAlignment="1">
      <alignment horizontal="left" vertical="center" wrapText="1"/>
    </xf>
    <xf numFmtId="0" fontId="43" fillId="0" borderId="5" xfId="0" applyFont="1" applyBorder="1" applyAlignment="1">
      <alignment horizontal="left" vertical="center" wrapText="1"/>
    </xf>
    <xf numFmtId="0" fontId="43" fillId="0" borderId="36" xfId="0" applyFont="1" applyBorder="1" applyAlignment="1">
      <alignment horizontal="left" vertical="center" wrapText="1"/>
    </xf>
    <xf numFmtId="3" fontId="48" fillId="7" borderId="39" xfId="0" applyNumberFormat="1" applyFont="1" applyFill="1" applyBorder="1" applyAlignment="1" applyProtection="1">
      <alignment horizontal="left" vertical="center" wrapText="1"/>
      <protection locked="0"/>
    </xf>
    <xf numFmtId="3" fontId="35" fillId="0" borderId="39" xfId="0" applyNumberFormat="1" applyFont="1" applyBorder="1" applyAlignment="1" applyProtection="1">
      <alignment horizontal="left" vertical="center" wrapText="1"/>
      <protection locked="0"/>
    </xf>
    <xf numFmtId="1" fontId="35" fillId="8" borderId="35" xfId="8" applyNumberFormat="1" applyFont="1" applyFill="1" applyBorder="1" applyAlignment="1" applyProtection="1">
      <alignment horizontal="center" vertical="center" wrapText="1"/>
      <protection locked="0"/>
    </xf>
    <xf numFmtId="1" fontId="35" fillId="8" borderId="5" xfId="8" applyNumberFormat="1" applyFont="1" applyFill="1" applyBorder="1" applyAlignment="1" applyProtection="1">
      <alignment horizontal="center" vertical="center" wrapText="1"/>
      <protection locked="0"/>
    </xf>
    <xf numFmtId="1" fontId="35" fillId="8" borderId="36" xfId="8" applyNumberFormat="1" applyFont="1" applyFill="1" applyBorder="1" applyAlignment="1" applyProtection="1">
      <alignment horizontal="center" vertical="center" wrapText="1"/>
      <protection locked="0"/>
    </xf>
    <xf numFmtId="174" fontId="12" fillId="0" borderId="35" xfId="6" applyNumberFormat="1" applyFont="1" applyBorder="1" applyAlignment="1" applyProtection="1">
      <alignment horizontal="center" vertical="center"/>
      <protection locked="0"/>
    </xf>
    <xf numFmtId="174" fontId="12" fillId="0" borderId="36" xfId="6" applyNumberFormat="1" applyFont="1" applyBorder="1" applyAlignment="1" applyProtection="1">
      <alignment horizontal="center" vertical="center"/>
      <protection locked="0"/>
    </xf>
    <xf numFmtId="3" fontId="12" fillId="0" borderId="35" xfId="0" applyNumberFormat="1" applyFont="1" applyBorder="1" applyAlignment="1" applyProtection="1">
      <alignment horizontal="center"/>
      <protection locked="0"/>
    </xf>
    <xf numFmtId="3" fontId="12" fillId="0" borderId="36" xfId="0" applyNumberFormat="1" applyFont="1" applyBorder="1" applyAlignment="1" applyProtection="1">
      <alignment horizontal="center"/>
      <protection locked="0"/>
    </xf>
    <xf numFmtId="3" fontId="43" fillId="0" borderId="35" xfId="0" applyNumberFormat="1" applyFont="1" applyBorder="1" applyAlignment="1" applyProtection="1">
      <alignment horizontal="justify" vertical="center" wrapText="1"/>
      <protection locked="0"/>
    </xf>
    <xf numFmtId="3" fontId="43" fillId="0" borderId="5" xfId="0" applyNumberFormat="1" applyFont="1" applyBorder="1" applyAlignment="1" applyProtection="1">
      <alignment horizontal="justify" vertical="center" wrapText="1"/>
      <protection locked="0"/>
    </xf>
    <xf numFmtId="3" fontId="43" fillId="0" borderId="36" xfId="0" applyNumberFormat="1" applyFont="1" applyBorder="1" applyAlignment="1" applyProtection="1">
      <alignment horizontal="justify" vertical="center" wrapText="1"/>
      <protection locked="0"/>
    </xf>
    <xf numFmtId="1" fontId="35" fillId="8" borderId="35" xfId="8" applyNumberFormat="1" applyFont="1" applyFill="1" applyBorder="1" applyAlignment="1" applyProtection="1">
      <alignment vertical="center" wrapText="1"/>
      <protection locked="0"/>
    </xf>
    <xf numFmtId="1" fontId="35" fillId="8" borderId="5" xfId="8" applyNumberFormat="1" applyFont="1" applyFill="1" applyBorder="1" applyAlignment="1" applyProtection="1">
      <alignment vertical="center" wrapText="1"/>
      <protection locked="0"/>
    </xf>
    <xf numFmtId="1" fontId="35" fillId="8" borderId="36" xfId="8" applyNumberFormat="1" applyFont="1" applyFill="1" applyBorder="1" applyAlignment="1" applyProtection="1">
      <alignment vertical="center" wrapText="1"/>
      <protection locked="0"/>
    </xf>
    <xf numFmtId="1" fontId="37" fillId="0" borderId="35" xfId="8" applyNumberFormat="1" applyFont="1" applyBorder="1" applyAlignment="1" applyProtection="1">
      <alignment horizontal="left" vertical="center" wrapText="1"/>
      <protection locked="0"/>
    </xf>
    <xf numFmtId="1" fontId="37" fillId="0" borderId="5" xfId="8" applyNumberFormat="1" applyFont="1" applyBorder="1" applyAlignment="1" applyProtection="1">
      <alignment horizontal="left" vertical="center" wrapText="1"/>
      <protection locked="0"/>
    </xf>
    <xf numFmtId="1" fontId="37" fillId="0" borderId="36" xfId="8" applyNumberFormat="1" applyFont="1" applyBorder="1" applyAlignment="1" applyProtection="1">
      <alignment horizontal="left" vertical="center" wrapText="1"/>
      <protection locked="0"/>
    </xf>
    <xf numFmtId="0" fontId="37" fillId="0" borderId="35" xfId="7" applyFont="1" applyBorder="1" applyAlignment="1" applyProtection="1">
      <alignment horizontal="left" vertical="center" wrapText="1"/>
      <protection locked="0"/>
    </xf>
    <xf numFmtId="0" fontId="37" fillId="0" borderId="5" xfId="7" applyFont="1" applyBorder="1" applyAlignment="1" applyProtection="1">
      <alignment horizontal="left" vertical="center" wrapText="1"/>
      <protection locked="0"/>
    </xf>
    <xf numFmtId="0" fontId="37" fillId="0" borderId="36" xfId="7" applyFont="1" applyBorder="1" applyAlignment="1" applyProtection="1">
      <alignment horizontal="left" vertical="center" wrapText="1"/>
      <protection locked="0"/>
    </xf>
    <xf numFmtId="0" fontId="37" fillId="6" borderId="35" xfId="8" applyFont="1" applyFill="1" applyBorder="1" applyAlignment="1" applyProtection="1">
      <alignment horizontal="left" vertical="center" wrapText="1"/>
      <protection locked="0"/>
    </xf>
    <xf numFmtId="0" fontId="37" fillId="6" borderId="5" xfId="8" applyFont="1" applyFill="1" applyBorder="1" applyAlignment="1" applyProtection="1">
      <alignment horizontal="left" vertical="center" wrapText="1"/>
      <protection locked="0"/>
    </xf>
    <xf numFmtId="0" fontId="37" fillId="6" borderId="36" xfId="8" applyFont="1" applyFill="1" applyBorder="1" applyAlignment="1" applyProtection="1">
      <alignment horizontal="left" vertical="center" wrapText="1"/>
      <protection locked="0"/>
    </xf>
    <xf numFmtId="0" fontId="37" fillId="0" borderId="35" xfId="8" applyFont="1" applyBorder="1" applyAlignment="1" applyProtection="1">
      <alignment horizontal="left" vertical="center" wrapText="1"/>
      <protection hidden="1"/>
    </xf>
    <xf numFmtId="0" fontId="37" fillId="0" borderId="5" xfId="8" applyFont="1" applyBorder="1" applyAlignment="1" applyProtection="1">
      <alignment horizontal="left" vertical="center" wrapText="1"/>
      <protection hidden="1"/>
    </xf>
    <xf numFmtId="0" fontId="37" fillId="0" borderId="36" xfId="8" applyFont="1" applyBorder="1" applyAlignment="1" applyProtection="1">
      <alignment horizontal="left" vertical="center" wrapText="1"/>
      <protection hidden="1"/>
    </xf>
    <xf numFmtId="0" fontId="37" fillId="6" borderId="35" xfId="8" applyFont="1" applyFill="1" applyBorder="1" applyAlignment="1" applyProtection="1">
      <alignment vertical="center" wrapText="1"/>
      <protection locked="0"/>
    </xf>
    <xf numFmtId="0" fontId="37" fillId="6" borderId="5" xfId="8" applyFont="1" applyFill="1" applyBorder="1" applyAlignment="1" applyProtection="1">
      <alignment vertical="center" wrapText="1"/>
      <protection locked="0"/>
    </xf>
    <xf numFmtId="0" fontId="37" fillId="6" borderId="36" xfId="8" applyFont="1" applyFill="1" applyBorder="1" applyAlignment="1" applyProtection="1">
      <alignment vertical="center" wrapText="1"/>
      <protection locked="0"/>
    </xf>
    <xf numFmtId="1" fontId="35" fillId="0" borderId="35" xfId="8" applyNumberFormat="1" applyFont="1" applyBorder="1" applyAlignment="1" applyProtection="1">
      <alignment horizontal="left" vertical="center" wrapText="1"/>
      <protection locked="0"/>
    </xf>
    <xf numFmtId="1" fontId="35" fillId="0" borderId="5" xfId="8" applyNumberFormat="1" applyFont="1" applyBorder="1" applyAlignment="1" applyProtection="1">
      <alignment horizontal="left" vertical="center" wrapText="1"/>
      <protection locked="0"/>
    </xf>
    <xf numFmtId="1" fontId="35" fillId="0" borderId="36" xfId="8" applyNumberFormat="1" applyFont="1" applyBorder="1" applyAlignment="1" applyProtection="1">
      <alignment horizontal="left" vertical="center" wrapText="1"/>
      <protection locked="0"/>
    </xf>
    <xf numFmtId="0" fontId="37" fillId="6" borderId="35" xfId="7" applyFont="1" applyFill="1" applyBorder="1" applyAlignment="1" applyProtection="1">
      <alignment horizontal="left" vertical="center" wrapText="1"/>
      <protection locked="0"/>
    </xf>
    <xf numFmtId="0" fontId="37" fillId="6" borderId="5" xfId="7" applyFont="1" applyFill="1" applyBorder="1" applyAlignment="1" applyProtection="1">
      <alignment horizontal="left" vertical="center" wrapText="1"/>
      <protection locked="0"/>
    </xf>
    <xf numFmtId="0" fontId="37" fillId="6" borderId="36" xfId="7" applyFont="1" applyFill="1" applyBorder="1" applyAlignment="1" applyProtection="1">
      <alignment horizontal="left" vertical="center" wrapText="1"/>
      <protection locked="0"/>
    </xf>
    <xf numFmtId="0" fontId="35" fillId="0" borderId="35" xfId="7" applyFont="1" applyBorder="1" applyAlignment="1" applyProtection="1">
      <alignment horizontal="left" vertical="center" wrapText="1"/>
      <protection locked="0"/>
    </xf>
    <xf numFmtId="0" fontId="35" fillId="0" borderId="5" xfId="7" applyFont="1" applyBorder="1" applyAlignment="1" applyProtection="1">
      <alignment horizontal="left" vertical="center" wrapText="1"/>
      <protection locked="0"/>
    </xf>
    <xf numFmtId="0" fontId="35" fillId="0" borderId="36" xfId="7" applyFont="1" applyBorder="1" applyAlignment="1" applyProtection="1">
      <alignment horizontal="left" vertical="center" wrapText="1"/>
      <protection locked="0"/>
    </xf>
    <xf numFmtId="3" fontId="34" fillId="3" borderId="31" xfId="0" applyNumberFormat="1" applyFont="1" applyFill="1" applyBorder="1" applyAlignment="1" applyProtection="1">
      <alignment horizontal="left" vertical="center"/>
      <protection locked="0"/>
    </xf>
    <xf numFmtId="3" fontId="34" fillId="3" borderId="5" xfId="0" applyNumberFormat="1" applyFont="1" applyFill="1" applyBorder="1" applyAlignment="1" applyProtection="1">
      <alignment horizontal="left" vertical="center"/>
      <protection locked="0"/>
    </xf>
    <xf numFmtId="3" fontId="34" fillId="3" borderId="36" xfId="0" applyNumberFormat="1" applyFont="1" applyFill="1" applyBorder="1" applyAlignment="1" applyProtection="1">
      <alignment horizontal="left" vertical="center"/>
      <protection locked="0"/>
    </xf>
    <xf numFmtId="1" fontId="49" fillId="8" borderId="35" xfId="8" applyNumberFormat="1" applyFont="1" applyFill="1" applyBorder="1" applyAlignment="1" applyProtection="1">
      <alignment horizontal="center" vertical="center" wrapText="1"/>
      <protection locked="0"/>
    </xf>
    <xf numFmtId="1" fontId="49" fillId="8" borderId="5" xfId="8" applyNumberFormat="1" applyFont="1" applyFill="1" applyBorder="1" applyAlignment="1" applyProtection="1">
      <alignment horizontal="center" vertical="center" wrapText="1"/>
      <protection locked="0"/>
    </xf>
    <xf numFmtId="1" fontId="49" fillId="8" borderId="36" xfId="8" applyNumberFormat="1" applyFont="1" applyFill="1" applyBorder="1" applyAlignment="1" applyProtection="1">
      <alignment horizontal="center" vertical="center" wrapText="1"/>
      <protection locked="0"/>
    </xf>
    <xf numFmtId="1" fontId="49" fillId="8" borderId="35" xfId="8" applyNumberFormat="1" applyFont="1" applyFill="1" applyBorder="1" applyAlignment="1" applyProtection="1">
      <alignment vertical="center" wrapText="1"/>
      <protection locked="0"/>
    </xf>
    <xf numFmtId="1" fontId="49" fillId="8" borderId="5" xfId="8" applyNumberFormat="1" applyFont="1" applyFill="1" applyBorder="1" applyAlignment="1" applyProtection="1">
      <alignment vertical="center" wrapText="1"/>
      <protection locked="0"/>
    </xf>
    <xf numFmtId="1" fontId="49" fillId="8" borderId="36" xfId="8" applyNumberFormat="1" applyFont="1" applyFill="1" applyBorder="1" applyAlignment="1" applyProtection="1">
      <alignment vertical="center" wrapText="1"/>
      <protection locked="0"/>
    </xf>
    <xf numFmtId="0" fontId="1" fillId="0" borderId="35" xfId="8" applyFont="1" applyBorder="1" applyAlignment="1" applyProtection="1">
      <alignment vertical="center"/>
      <protection locked="0"/>
    </xf>
    <xf numFmtId="0" fontId="1" fillId="0" borderId="5" xfId="8" applyFont="1" applyBorder="1" applyAlignment="1" applyProtection="1">
      <alignment vertical="center"/>
      <protection locked="0"/>
    </xf>
    <xf numFmtId="0" fontId="1" fillId="0" borderId="36" xfId="8" applyFont="1" applyBorder="1" applyAlignment="1" applyProtection="1">
      <alignment vertical="center"/>
      <protection locked="0"/>
    </xf>
    <xf numFmtId="3" fontId="37" fillId="0" borderId="35" xfId="0" applyNumberFormat="1" applyFont="1" applyBorder="1" applyAlignment="1" applyProtection="1">
      <alignment horizontal="justify" vertical="center" wrapText="1"/>
      <protection locked="0"/>
    </xf>
    <xf numFmtId="3" fontId="37" fillId="0" borderId="5" xfId="0" applyNumberFormat="1" applyFont="1" applyBorder="1" applyAlignment="1" applyProtection="1">
      <alignment horizontal="justify" vertical="center" wrapText="1"/>
      <protection locked="0"/>
    </xf>
    <xf numFmtId="3" fontId="37" fillId="0" borderId="36" xfId="0" applyNumberFormat="1" applyFont="1" applyBorder="1" applyAlignment="1" applyProtection="1">
      <alignment horizontal="justify" vertical="center" wrapText="1"/>
      <protection locked="0"/>
    </xf>
    <xf numFmtId="0" fontId="0" fillId="0" borderId="35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49" fillId="0" borderId="35" xfId="8" applyFont="1" applyBorder="1" applyAlignment="1" applyProtection="1">
      <alignment vertical="center" wrapText="1"/>
      <protection locked="0"/>
    </xf>
    <xf numFmtId="0" fontId="49" fillId="0" borderId="5" xfId="8" applyFont="1" applyBorder="1" applyAlignment="1" applyProtection="1">
      <alignment vertical="center" wrapText="1"/>
      <protection locked="0"/>
    </xf>
    <xf numFmtId="0" fontId="49" fillId="0" borderId="36" xfId="8" applyFont="1" applyBorder="1" applyAlignment="1" applyProtection="1">
      <alignment vertical="center" wrapText="1"/>
      <protection locked="0"/>
    </xf>
    <xf numFmtId="1" fontId="46" fillId="0" borderId="35" xfId="8" applyNumberFormat="1" applyFont="1" applyBorder="1" applyAlignment="1" applyProtection="1">
      <alignment vertical="center" wrapText="1"/>
      <protection locked="0"/>
    </xf>
    <xf numFmtId="1" fontId="46" fillId="0" borderId="5" xfId="8" applyNumberFormat="1" applyFont="1" applyBorder="1" applyAlignment="1" applyProtection="1">
      <alignment vertical="center" wrapText="1"/>
      <protection locked="0"/>
    </xf>
    <xf numFmtId="1" fontId="46" fillId="0" borderId="36" xfId="8" applyNumberFormat="1" applyFont="1" applyBorder="1" applyAlignment="1" applyProtection="1">
      <alignment vertical="center" wrapText="1"/>
      <protection locked="0"/>
    </xf>
    <xf numFmtId="0" fontId="46" fillId="0" borderId="35" xfId="8" applyFont="1" applyBorder="1" applyAlignment="1" applyProtection="1">
      <alignment vertical="center" wrapText="1"/>
      <protection locked="0"/>
    </xf>
    <xf numFmtId="0" fontId="46" fillId="0" borderId="5" xfId="8" applyFont="1" applyBorder="1" applyAlignment="1" applyProtection="1">
      <alignment vertical="center" wrapText="1"/>
      <protection locked="0"/>
    </xf>
    <xf numFmtId="0" fontId="46" fillId="0" borderId="36" xfId="8" applyFont="1" applyBorder="1" applyAlignment="1" applyProtection="1">
      <alignment vertical="center" wrapText="1"/>
      <protection locked="0"/>
    </xf>
    <xf numFmtId="0" fontId="46" fillId="6" borderId="35" xfId="8" applyFont="1" applyFill="1" applyBorder="1" applyAlignment="1" applyProtection="1">
      <alignment vertical="center" wrapText="1"/>
      <protection locked="0"/>
    </xf>
    <xf numFmtId="0" fontId="46" fillId="6" borderId="5" xfId="8" applyFont="1" applyFill="1" applyBorder="1" applyAlignment="1" applyProtection="1">
      <alignment vertical="center" wrapText="1"/>
      <protection locked="0"/>
    </xf>
    <xf numFmtId="0" fontId="46" fillId="6" borderId="36" xfId="8" applyFont="1" applyFill="1" applyBorder="1" applyAlignment="1" applyProtection="1">
      <alignment vertical="center" wrapText="1"/>
      <protection locked="0"/>
    </xf>
    <xf numFmtId="1" fontId="37" fillId="6" borderId="35" xfId="8" applyNumberFormat="1" applyFont="1" applyFill="1" applyBorder="1" applyAlignment="1" applyProtection="1">
      <alignment vertical="center" wrapText="1"/>
      <protection locked="0"/>
    </xf>
    <xf numFmtId="1" fontId="37" fillId="6" borderId="5" xfId="8" applyNumberFormat="1" applyFont="1" applyFill="1" applyBorder="1" applyAlignment="1" applyProtection="1">
      <alignment vertical="center" wrapText="1"/>
      <protection locked="0"/>
    </xf>
    <xf numFmtId="1" fontId="37" fillId="6" borderId="36" xfId="8" applyNumberFormat="1" applyFont="1" applyFill="1" applyBorder="1" applyAlignment="1" applyProtection="1">
      <alignment vertical="center" wrapText="1"/>
      <protection locked="0"/>
    </xf>
    <xf numFmtId="0" fontId="37" fillId="0" borderId="35" xfId="7" applyFont="1" applyBorder="1" applyAlignment="1" applyProtection="1">
      <alignment vertical="center" wrapText="1"/>
      <protection locked="0"/>
    </xf>
    <xf numFmtId="0" fontId="37" fillId="0" borderId="5" xfId="7" applyFont="1" applyBorder="1" applyAlignment="1" applyProtection="1">
      <alignment vertical="center" wrapText="1"/>
      <protection locked="0"/>
    </xf>
    <xf numFmtId="0" fontId="37" fillId="0" borderId="36" xfId="7" applyFont="1" applyBorder="1" applyAlignment="1" applyProtection="1">
      <alignment vertical="center" wrapText="1"/>
      <protection locked="0"/>
    </xf>
    <xf numFmtId="1" fontId="37" fillId="0" borderId="35" xfId="8" applyNumberFormat="1" applyFont="1" applyBorder="1" applyAlignment="1" applyProtection="1">
      <alignment vertical="center" wrapText="1"/>
      <protection locked="0"/>
    </xf>
    <xf numFmtId="1" fontId="37" fillId="0" borderId="5" xfId="8" applyNumberFormat="1" applyFont="1" applyBorder="1" applyAlignment="1" applyProtection="1">
      <alignment vertical="center" wrapText="1"/>
      <protection locked="0"/>
    </xf>
    <xf numFmtId="1" fontId="37" fillId="0" borderId="36" xfId="8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37" fillId="0" borderId="5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35" xfId="8" applyFont="1" applyBorder="1" applyAlignment="1" applyProtection="1">
      <alignment vertical="center"/>
      <protection locked="0"/>
    </xf>
    <xf numFmtId="0" fontId="37" fillId="0" borderId="5" xfId="8" applyFont="1" applyBorder="1" applyAlignment="1" applyProtection="1">
      <alignment vertical="center"/>
      <protection locked="0"/>
    </xf>
    <xf numFmtId="0" fontId="37" fillId="0" borderId="36" xfId="8" applyFont="1" applyBorder="1" applyAlignment="1" applyProtection="1">
      <alignment vertical="center"/>
      <protection locked="0"/>
    </xf>
    <xf numFmtId="0" fontId="46" fillId="0" borderId="35" xfId="8" applyFont="1" applyBorder="1" applyAlignment="1" applyProtection="1">
      <alignment horizontal="left" vertical="center" wrapText="1"/>
      <protection hidden="1"/>
    </xf>
    <xf numFmtId="0" fontId="46" fillId="0" borderId="5" xfId="8" applyFont="1" applyBorder="1" applyAlignment="1" applyProtection="1">
      <alignment horizontal="left" vertical="center" wrapText="1"/>
      <protection hidden="1"/>
    </xf>
    <xf numFmtId="0" fontId="46" fillId="0" borderId="36" xfId="8" applyFont="1" applyBorder="1" applyAlignment="1" applyProtection="1">
      <alignment horizontal="left" vertical="center" wrapText="1"/>
      <protection hidden="1"/>
    </xf>
    <xf numFmtId="0" fontId="43" fillId="0" borderId="35" xfId="8" applyFont="1" applyBorder="1" applyAlignment="1" applyProtection="1">
      <alignment vertical="center" wrapText="1"/>
      <protection locked="0"/>
    </xf>
    <xf numFmtId="0" fontId="43" fillId="0" borderId="5" xfId="8" applyFont="1" applyBorder="1" applyAlignment="1" applyProtection="1">
      <alignment vertical="center" wrapText="1"/>
      <protection locked="0"/>
    </xf>
    <xf numFmtId="0" fontId="43" fillId="0" borderId="36" xfId="8" applyFont="1" applyBorder="1" applyAlignment="1" applyProtection="1">
      <alignment vertical="center" wrapText="1"/>
      <protection locked="0"/>
    </xf>
    <xf numFmtId="0" fontId="43" fillId="6" borderId="35" xfId="8" applyFont="1" applyFill="1" applyBorder="1" applyAlignment="1" applyProtection="1">
      <alignment vertical="center" wrapText="1"/>
      <protection locked="0"/>
    </xf>
    <xf numFmtId="0" fontId="43" fillId="6" borderId="5" xfId="8" applyFont="1" applyFill="1" applyBorder="1" applyAlignment="1" applyProtection="1">
      <alignment vertical="center" wrapText="1"/>
      <protection locked="0"/>
    </xf>
    <xf numFmtId="0" fontId="43" fillId="6" borderId="36" xfId="8" applyFont="1" applyFill="1" applyBorder="1" applyAlignment="1" applyProtection="1">
      <alignment vertical="center" wrapText="1"/>
      <protection locked="0"/>
    </xf>
    <xf numFmtId="3" fontId="29" fillId="0" borderId="35" xfId="6" applyNumberFormat="1" applyFont="1" applyBorder="1" applyAlignment="1" applyProtection="1">
      <alignment vertical="center"/>
      <protection locked="0"/>
    </xf>
    <xf numFmtId="3" fontId="29" fillId="0" borderId="5" xfId="6" applyNumberFormat="1" applyFont="1" applyBorder="1" applyAlignment="1" applyProtection="1">
      <alignment vertical="center"/>
      <protection locked="0"/>
    </xf>
    <xf numFmtId="10" fontId="29" fillId="0" borderId="35" xfId="6" applyNumberFormat="1" applyFont="1" applyBorder="1" applyAlignment="1" applyProtection="1">
      <alignment horizontal="center" vertical="center"/>
      <protection locked="0"/>
    </xf>
    <xf numFmtId="10" fontId="29" fillId="0" borderId="36" xfId="6" applyNumberFormat="1" applyFont="1" applyBorder="1" applyAlignment="1" applyProtection="1">
      <alignment horizontal="center" vertical="center"/>
      <protection locked="0"/>
    </xf>
    <xf numFmtId="3" fontId="1" fillId="0" borderId="3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36" xfId="0" applyNumberFormat="1" applyFont="1" applyBorder="1" applyAlignment="1" applyProtection="1">
      <alignment horizontal="left"/>
      <protection locked="0"/>
    </xf>
    <xf numFmtId="174" fontId="1" fillId="9" borderId="35" xfId="6" applyNumberFormat="1" applyFont="1" applyFill="1" applyBorder="1" applyAlignment="1" applyProtection="1">
      <alignment horizontal="center" vertical="center"/>
      <protection locked="0"/>
    </xf>
    <xf numFmtId="174" fontId="1" fillId="9" borderId="36" xfId="6" applyNumberFormat="1" applyFont="1" applyFill="1" applyBorder="1" applyAlignment="1" applyProtection="1">
      <alignment horizontal="center" vertical="center"/>
      <protection locked="0"/>
    </xf>
    <xf numFmtId="3" fontId="29" fillId="10" borderId="35" xfId="0" applyNumberFormat="1" applyFont="1" applyFill="1" applyBorder="1" applyAlignment="1" applyProtection="1">
      <alignment horizontal="center" vertical="center"/>
      <protection locked="0"/>
    </xf>
    <xf numFmtId="3" fontId="29" fillId="10" borderId="5" xfId="0" applyNumberFormat="1" applyFont="1" applyFill="1" applyBorder="1" applyAlignment="1" applyProtection="1">
      <alignment horizontal="center" vertical="center"/>
      <protection locked="0"/>
    </xf>
    <xf numFmtId="3" fontId="29" fillId="10" borderId="36" xfId="0" applyNumberFormat="1" applyFont="1" applyFill="1" applyBorder="1" applyAlignment="1" applyProtection="1">
      <alignment horizontal="center" vertical="center"/>
      <protection locked="0"/>
    </xf>
    <xf numFmtId="0" fontId="29" fillId="0" borderId="35" xfId="8" applyFont="1" applyBorder="1" applyAlignment="1" applyProtection="1">
      <alignment vertical="center"/>
      <protection locked="0"/>
    </xf>
    <xf numFmtId="0" fontId="29" fillId="0" borderId="5" xfId="8" applyFont="1" applyBorder="1" applyAlignment="1" applyProtection="1">
      <alignment vertical="center"/>
      <protection locked="0"/>
    </xf>
    <xf numFmtId="0" fontId="29" fillId="0" borderId="36" xfId="8" applyFont="1" applyBorder="1" applyAlignment="1" applyProtection="1">
      <alignment vertical="center"/>
      <protection locked="0"/>
    </xf>
    <xf numFmtId="168" fontId="1" fillId="9" borderId="35" xfId="6" applyNumberFormat="1" applyFont="1" applyFill="1" applyBorder="1" applyAlignment="1" applyProtection="1">
      <alignment horizontal="center" vertical="center"/>
      <protection locked="0"/>
    </xf>
    <xf numFmtId="168" fontId="1" fillId="9" borderId="36" xfId="6" applyNumberFormat="1" applyFont="1" applyFill="1" applyBorder="1" applyAlignment="1" applyProtection="1">
      <alignment horizontal="center" vertical="center"/>
      <protection locked="0"/>
    </xf>
    <xf numFmtId="0" fontId="29" fillId="11" borderId="35" xfId="0" applyFont="1" applyFill="1" applyBorder="1" applyAlignment="1" applyProtection="1">
      <alignment horizontal="center" vertical="center" wrapText="1"/>
      <protection locked="0"/>
    </xf>
    <xf numFmtId="0" fontId="29" fillId="11" borderId="5" xfId="0" applyFont="1" applyFill="1" applyBorder="1" applyAlignment="1" applyProtection="1">
      <alignment horizontal="center" vertical="center" wrapText="1"/>
      <protection locked="0"/>
    </xf>
    <xf numFmtId="0" fontId="29" fillId="11" borderId="36" xfId="0" applyFont="1" applyFill="1" applyBorder="1" applyAlignment="1" applyProtection="1">
      <alignment horizontal="center" vertical="center" wrapText="1"/>
      <protection locked="0"/>
    </xf>
    <xf numFmtId="10" fontId="29" fillId="9" borderId="35" xfId="6" applyNumberFormat="1" applyFont="1" applyFill="1" applyBorder="1" applyAlignment="1">
      <alignment horizontal="center" vertical="center"/>
    </xf>
    <xf numFmtId="10" fontId="29" fillId="9" borderId="36" xfId="6" applyNumberFormat="1" applyFont="1" applyFill="1" applyBorder="1" applyAlignment="1">
      <alignment horizontal="center" vertical="center"/>
    </xf>
    <xf numFmtId="174" fontId="29" fillId="3" borderId="35" xfId="6" applyNumberFormat="1" applyFont="1" applyFill="1" applyBorder="1" applyAlignment="1" applyProtection="1">
      <alignment horizontal="center" vertical="center"/>
      <protection locked="0"/>
    </xf>
    <xf numFmtId="174" fontId="29" fillId="3" borderId="36" xfId="6" applyNumberFormat="1" applyFont="1" applyFill="1" applyBorder="1" applyAlignment="1" applyProtection="1">
      <alignment horizontal="center" vertical="center"/>
      <protection locked="0"/>
    </xf>
    <xf numFmtId="3" fontId="29" fillId="0" borderId="0" xfId="6" applyNumberFormat="1" applyFont="1" applyAlignment="1">
      <alignment horizontal="center"/>
    </xf>
    <xf numFmtId="3" fontId="29" fillId="0" borderId="35" xfId="6" applyNumberFormat="1" applyFont="1" applyBorder="1" applyAlignment="1" applyProtection="1">
      <alignment horizontal="center"/>
      <protection locked="0"/>
    </xf>
    <xf numFmtId="3" fontId="29" fillId="0" borderId="5" xfId="6" applyNumberFormat="1" applyFont="1" applyBorder="1" applyAlignment="1" applyProtection="1">
      <alignment horizontal="center"/>
      <protection locked="0"/>
    </xf>
    <xf numFmtId="3" fontId="29" fillId="0" borderId="36" xfId="6" applyNumberFormat="1" applyFont="1" applyBorder="1" applyAlignment="1" applyProtection="1">
      <alignment horizontal="center"/>
      <protection locked="0"/>
    </xf>
    <xf numFmtId="3" fontId="29" fillId="0" borderId="2" xfId="6" applyNumberFormat="1" applyFont="1" applyBorder="1" applyAlignment="1" applyProtection="1">
      <alignment horizontal="center"/>
      <protection locked="0"/>
    </xf>
    <xf numFmtId="3" fontId="29" fillId="0" borderId="0" xfId="6" applyNumberFormat="1" applyFont="1" applyAlignment="1" applyProtection="1">
      <alignment horizontal="center"/>
      <protection locked="0"/>
    </xf>
    <xf numFmtId="10" fontId="29" fillId="3" borderId="35" xfId="6" applyNumberFormat="1" applyFont="1" applyFill="1" applyBorder="1" applyAlignment="1">
      <alignment horizontal="center" vertical="center"/>
    </xf>
    <xf numFmtId="10" fontId="29" fillId="3" borderId="36" xfId="6" applyNumberFormat="1" applyFont="1" applyFill="1" applyBorder="1" applyAlignment="1">
      <alignment horizontal="center" vertical="center"/>
    </xf>
    <xf numFmtId="174" fontId="29" fillId="9" borderId="35" xfId="6" applyNumberFormat="1" applyFont="1" applyFill="1" applyBorder="1" applyAlignment="1">
      <alignment horizontal="center" vertical="center"/>
    </xf>
    <xf numFmtId="174" fontId="29" fillId="9" borderId="36" xfId="6" applyNumberFormat="1" applyFont="1" applyFill="1" applyBorder="1" applyAlignment="1">
      <alignment horizontal="center" vertical="center"/>
    </xf>
    <xf numFmtId="3" fontId="14" fillId="0" borderId="35" xfId="6" applyNumberFormat="1" applyFont="1" applyBorder="1" applyAlignment="1">
      <alignment horizontal="center" vertical="center"/>
    </xf>
    <xf numFmtId="3" fontId="14" fillId="0" borderId="32" xfId="6" applyNumberFormat="1" applyFont="1" applyBorder="1" applyAlignment="1">
      <alignment horizontal="center" vertical="center"/>
    </xf>
    <xf numFmtId="185" fontId="14" fillId="9" borderId="18" xfId="6" applyNumberFormat="1" applyFont="1" applyFill="1" applyBorder="1" applyAlignment="1">
      <alignment horizontal="center" vertical="center"/>
    </xf>
    <xf numFmtId="185" fontId="14" fillId="9" borderId="19" xfId="6" applyNumberFormat="1" applyFont="1" applyFill="1" applyBorder="1" applyAlignment="1">
      <alignment horizontal="center" vertical="center"/>
    </xf>
    <xf numFmtId="3" fontId="14" fillId="0" borderId="5" xfId="6" applyNumberFormat="1" applyFont="1" applyBorder="1" applyAlignment="1">
      <alignment horizontal="center" vertical="center"/>
    </xf>
    <xf numFmtId="4" fontId="14" fillId="0" borderId="35" xfId="6" applyNumberFormat="1" applyFont="1" applyBorder="1" applyAlignment="1">
      <alignment horizontal="center" vertical="center"/>
    </xf>
    <xf numFmtId="4" fontId="14" fillId="0" borderId="36" xfId="6" applyNumberFormat="1" applyFont="1" applyBorder="1" applyAlignment="1">
      <alignment horizontal="center" vertical="center"/>
    </xf>
    <xf numFmtId="3" fontId="14" fillId="0" borderId="35" xfId="0" applyNumberFormat="1" applyFont="1" applyBorder="1" applyAlignment="1">
      <alignment horizontal="center" vertical="center"/>
    </xf>
    <xf numFmtId="3" fontId="14" fillId="0" borderId="36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/>
    </xf>
    <xf numFmtId="3" fontId="60" fillId="0" borderId="0" xfId="0" applyNumberFormat="1" applyFont="1" applyAlignment="1">
      <alignment horizontal="center" vertical="center"/>
    </xf>
    <xf numFmtId="3" fontId="62" fillId="0" borderId="0" xfId="0" applyNumberFormat="1" applyFont="1" applyAlignment="1">
      <alignment horizontal="center" vertical="center"/>
    </xf>
    <xf numFmtId="3" fontId="29" fillId="0" borderId="0" xfId="6" applyNumberFormat="1" applyFont="1" applyAlignment="1" applyProtection="1">
      <alignment horizontal="center" vertical="center"/>
      <protection locked="0"/>
    </xf>
    <xf numFmtId="3" fontId="60" fillId="0" borderId="0" xfId="0" applyNumberFormat="1" applyFont="1" applyAlignment="1" applyProtection="1">
      <alignment horizontal="center" vertical="center"/>
      <protection locked="0"/>
    </xf>
    <xf numFmtId="3" fontId="60" fillId="0" borderId="0" xfId="0" applyNumberFormat="1" applyFont="1" applyAlignment="1" applyProtection="1">
      <alignment horizontal="center" vertical="center" wrapText="1"/>
      <protection locked="0"/>
    </xf>
    <xf numFmtId="3" fontId="2" fillId="3" borderId="0" xfId="6" applyNumberFormat="1" applyFont="1" applyFill="1" applyAlignment="1" applyProtection="1">
      <alignment horizontal="center" vertical="center" wrapText="1"/>
      <protection hidden="1"/>
    </xf>
    <xf numFmtId="3" fontId="2" fillId="3" borderId="14" xfId="6" applyNumberFormat="1" applyFont="1" applyFill="1" applyBorder="1" applyAlignment="1" applyProtection="1">
      <alignment horizontal="center" vertical="center" wrapText="1"/>
      <protection hidden="1"/>
    </xf>
    <xf numFmtId="0" fontId="29" fillId="13" borderId="39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3" fontId="7" fillId="14" borderId="35" xfId="0" applyNumberFormat="1" applyFont="1" applyFill="1" applyBorder="1" applyAlignment="1" applyProtection="1">
      <alignment horizontal="left" vertical="center" wrapText="1"/>
      <protection hidden="1"/>
    </xf>
    <xf numFmtId="3" fontId="7" fillId="14" borderId="5" xfId="0" applyNumberFormat="1" applyFont="1" applyFill="1" applyBorder="1" applyAlignment="1" applyProtection="1">
      <alignment horizontal="left" vertical="center" wrapText="1"/>
      <protection hidden="1"/>
    </xf>
    <xf numFmtId="3" fontId="7" fillId="14" borderId="36" xfId="0" applyNumberFormat="1" applyFont="1" applyFill="1" applyBorder="1" applyAlignment="1" applyProtection="1">
      <alignment horizontal="left" vertical="center" wrapText="1"/>
      <protection hidden="1"/>
    </xf>
    <xf numFmtId="3" fontId="29" fillId="0" borderId="39" xfId="0" applyNumberFormat="1" applyFont="1" applyBorder="1" applyAlignment="1" applyProtection="1">
      <alignment horizontal="center" vertical="center" wrapText="1"/>
      <protection hidden="1"/>
    </xf>
    <xf numFmtId="3" fontId="29" fillId="0" borderId="39" xfId="6" applyNumberFormat="1" applyFont="1" applyBorder="1" applyAlignment="1" applyProtection="1">
      <alignment horizontal="center" vertical="center"/>
      <protection hidden="1"/>
    </xf>
    <xf numFmtId="173" fontId="0" fillId="12" borderId="35" xfId="6" applyNumberFormat="1" applyFont="1" applyFill="1" applyBorder="1" applyAlignment="1" applyProtection="1">
      <alignment horizontal="center"/>
      <protection hidden="1"/>
    </xf>
    <xf numFmtId="173" fontId="0" fillId="12" borderId="36" xfId="6" applyNumberFormat="1" applyFont="1" applyFill="1" applyBorder="1" applyAlignment="1" applyProtection="1">
      <alignment horizontal="center"/>
      <protection hidden="1"/>
    </xf>
    <xf numFmtId="173" fontId="0" fillId="3" borderId="35" xfId="6" applyNumberFormat="1" applyFont="1" applyFill="1" applyBorder="1" applyAlignment="1" applyProtection="1">
      <alignment horizontal="center"/>
      <protection hidden="1"/>
    </xf>
    <xf numFmtId="173" fontId="0" fillId="3" borderId="36" xfId="6" applyNumberFormat="1" applyFont="1" applyFill="1" applyBorder="1" applyAlignment="1" applyProtection="1">
      <alignment horizontal="center"/>
      <protection hidden="1"/>
    </xf>
    <xf numFmtId="3" fontId="29" fillId="0" borderId="39" xfId="6" applyNumberFormat="1" applyFont="1" applyBorder="1" applyAlignment="1" applyProtection="1">
      <alignment horizontal="center"/>
      <protection hidden="1"/>
    </xf>
    <xf numFmtId="173" fontId="29" fillId="0" borderId="35" xfId="4" applyNumberFormat="1" applyFont="1" applyFill="1" applyBorder="1" applyAlignment="1" applyProtection="1">
      <alignment horizontal="center"/>
      <protection hidden="1"/>
    </xf>
    <xf numFmtId="173" fontId="29" fillId="0" borderId="36" xfId="4" applyNumberFormat="1" applyFont="1" applyFill="1" applyBorder="1" applyAlignment="1" applyProtection="1">
      <alignment horizontal="center"/>
      <protection hidden="1"/>
    </xf>
    <xf numFmtId="3" fontId="1" fillId="3" borderId="35" xfId="6" applyNumberFormat="1" applyFont="1" applyFill="1" applyBorder="1" applyAlignment="1" applyProtection="1">
      <alignment horizontal="left"/>
      <protection hidden="1"/>
    </xf>
    <xf numFmtId="3" fontId="1" fillId="3" borderId="5" xfId="6" applyNumberFormat="1" applyFont="1" applyFill="1" applyBorder="1" applyAlignment="1" applyProtection="1">
      <alignment horizontal="left"/>
      <protection hidden="1"/>
    </xf>
    <xf numFmtId="3" fontId="1" fillId="3" borderId="36" xfId="6" applyNumberFormat="1" applyFont="1" applyFill="1" applyBorder="1" applyAlignment="1" applyProtection="1">
      <alignment horizontal="left"/>
      <protection hidden="1"/>
    </xf>
    <xf numFmtId="173" fontId="59" fillId="0" borderId="35" xfId="4" applyNumberFormat="1" applyFont="1" applyFill="1" applyBorder="1" applyAlignment="1" applyProtection="1">
      <alignment horizontal="center"/>
      <protection hidden="1"/>
    </xf>
    <xf numFmtId="173" fontId="59" fillId="0" borderId="36" xfId="4" applyNumberFormat="1" applyFont="1" applyFill="1" applyBorder="1" applyAlignment="1" applyProtection="1">
      <alignment horizontal="center"/>
      <protection hidden="1"/>
    </xf>
    <xf numFmtId="3" fontId="60" fillId="0" borderId="14" xfId="0" applyNumberFormat="1" applyFont="1" applyBorder="1" applyAlignment="1">
      <alignment horizontal="center" vertical="center"/>
    </xf>
    <xf numFmtId="3" fontId="60" fillId="0" borderId="14" xfId="0" applyNumberFormat="1" applyFont="1" applyBorder="1" applyAlignment="1">
      <alignment horizontal="center"/>
    </xf>
    <xf numFmtId="3" fontId="29" fillId="0" borderId="14" xfId="6" applyNumberFormat="1" applyFont="1" applyBorder="1" applyAlignment="1">
      <alignment horizontal="center"/>
    </xf>
    <xf numFmtId="3" fontId="65" fillId="0" borderId="0" xfId="0" applyNumberFormat="1" applyFont="1" applyAlignment="1">
      <alignment horizontal="center" vertical="center"/>
    </xf>
    <xf numFmtId="3" fontId="65" fillId="0" borderId="0" xfId="0" applyNumberFormat="1" applyFont="1" applyAlignment="1">
      <alignment horizontal="center"/>
    </xf>
    <xf numFmtId="3" fontId="65" fillId="0" borderId="0" xfId="0" applyNumberFormat="1" applyFont="1" applyAlignment="1">
      <alignment horizontal="center" vertical="center" wrapText="1"/>
    </xf>
    <xf numFmtId="0" fontId="29" fillId="0" borderId="35" xfId="0" applyFont="1" applyBorder="1" applyAlignment="1">
      <alignment horizontal="center"/>
    </xf>
    <xf numFmtId="0" fontId="29" fillId="0" borderId="5" xfId="0" applyFont="1" applyBorder="1" applyAlignment="1">
      <alignment horizontal="center"/>
    </xf>
    <xf numFmtId="173" fontId="29" fillId="12" borderId="35" xfId="4" applyNumberFormat="1" applyFont="1" applyFill="1" applyBorder="1" applyAlignment="1" applyProtection="1">
      <alignment horizontal="center"/>
      <protection hidden="1"/>
    </xf>
    <xf numFmtId="173" fontId="29" fillId="12" borderId="36" xfId="4" applyNumberFormat="1" applyFont="1" applyFill="1" applyBorder="1" applyAlignment="1" applyProtection="1">
      <alignment horizontal="center"/>
      <protection hidden="1"/>
    </xf>
    <xf numFmtId="3" fontId="29" fillId="0" borderId="39" xfId="6" applyNumberFormat="1" applyFont="1" applyBorder="1" applyAlignment="1">
      <alignment horizontal="center" vertical="center"/>
    </xf>
    <xf numFmtId="3" fontId="29" fillId="3" borderId="39" xfId="6" applyNumberFormat="1" applyFont="1" applyFill="1" applyBorder="1" applyAlignment="1">
      <alignment horizontal="center" vertical="center"/>
    </xf>
    <xf numFmtId="0" fontId="56" fillId="6" borderId="0" xfId="0" applyFont="1" applyFill="1" applyAlignment="1">
      <alignment horizontal="center" vertic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9" xfId="0" applyFont="1" applyBorder="1" applyAlignment="1"/>
    <xf numFmtId="0" fontId="2" fillId="0" borderId="0" xfId="0" applyFont="1" applyAlignment="1"/>
    <xf numFmtId="0" fontId="2" fillId="0" borderId="10" xfId="0" applyFont="1" applyBorder="1" applyAlignment="1"/>
  </cellXfs>
  <cellStyles count="10">
    <cellStyle name="BodyStyle" xfId="9" xr:uid="{599BA40C-82E4-4232-96A0-F09F7BDEB18B}"/>
    <cellStyle name="Millares" xfId="1" builtinId="3"/>
    <cellStyle name="Millares [0]" xfId="2" builtinId="6"/>
    <cellStyle name="Moneda" xfId="3" builtinId="4"/>
    <cellStyle name="Moneda [0]" xfId="4" builtinId="7"/>
    <cellStyle name="Normal" xfId="0" builtinId="0"/>
    <cellStyle name="Normal 2 2" xfId="7" xr:uid="{C70E8093-D803-4BD1-A777-79E4F4CFA2B6}"/>
    <cellStyle name="Normal_LISTA S.E.D" xfId="6" xr:uid="{68354CCD-69A5-45D9-9E77-B42A6F62F7B9}"/>
    <cellStyle name="Normal_precios 2001-2 y 2002-1" xfId="8" xr:uid="{2F830B74-1ACA-4FEB-9207-1B071B68F07E}"/>
    <cellStyle name="Porcentaje" xfId="5" builtinId="5"/>
  </cellStyles>
  <dxfs count="1"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customXml" Target="../customXml/item1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93043</xdr:colOff>
      <xdr:row>1</xdr:row>
      <xdr:rowOff>144621</xdr:rowOff>
    </xdr:from>
    <xdr:to>
      <xdr:col>3</xdr:col>
      <xdr:colOff>1075403</xdr:colOff>
      <xdr:row>2</xdr:row>
      <xdr:rowOff>419100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DEAFD5-204E-4560-9038-E8D3D3DE3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8343" y="297021"/>
          <a:ext cx="3163585" cy="741204"/>
        </a:xfrm>
        <a:prstGeom prst="rect">
          <a:avLst/>
        </a:prstGeom>
      </xdr:spPr>
    </xdr:pic>
    <xdr:clientData/>
  </xdr:twoCellAnchor>
  <xdr:twoCellAnchor editAs="oneCell">
    <xdr:from>
      <xdr:col>19</xdr:col>
      <xdr:colOff>580211</xdr:colOff>
      <xdr:row>1</xdr:row>
      <xdr:rowOff>96216</xdr:rowOff>
    </xdr:from>
    <xdr:to>
      <xdr:col>21</xdr:col>
      <xdr:colOff>273765</xdr:colOff>
      <xdr:row>2</xdr:row>
      <xdr:rowOff>457200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A2979CB-90E1-4964-BB73-86979F673A32}"/>
            </a:ext>
            <a:ext uri="{147F2762-F138-4A5C-976F-8EAC2B608ADB}">
              <a16:predDERef xmlns:a16="http://schemas.microsoft.com/office/drawing/2014/main" pred="{338D19DF-4A1D-4F07-9C19-B9EFD6EFD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06561" y="248616"/>
          <a:ext cx="2570104" cy="8277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r-proyect\COMPARTIDOS\GERENCIA\GEMP\AVEC\AVEC2000\Jupter3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omdes99\FUENTE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Compartida\SHARE\ESTIMA\P7020\PROYECTO\730\CAMBIOS\Z20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%20C\Documents\LUIS%20MIGUEL%20PEREZ%20S%202022\sardinata%202022\Presupuestos\presupuestos%20contrato%201%20SARDINATA\2.%20SARD%20-%20CONSTRUCCIO&#236;N%20DE%20AULA%20DE%20CLASES%20PARA%20LA%20SEDE%20EDUCATIVA%20SANTA%20RITA_DEF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%20C\Documents\LUIS%20MIGUEL%20PEREZ%20S%202022\sardinata%202022\Presupuestos\presupuestos%20contrato%201%20SARDINATA\5.%20SARD%20-%20PRUSUPUESTO%20FINAL%20LA%20PITA%20%20RESTAURANTE%20COCINA%20-%20BA&#209;O%20-%20vivienda%20doc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%20C\Documents\LUIS%20MIGUEL%20PEREZ%20S%202022\sardinata%202022\Presupuestos\presupuestos%20contrato%201%20SARDINATA\3.%20SARD%20-%20PRESUPUESTO%20FINAL%20I.E.%20EL%20COMIENZO%20CONST.%20RESTAURANTE%20ESCOLAR_AJUSTE09MAYO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%20C\Documents\LUIS%20MIGUEL%20PEREZ%20S%202022\sardinata%202022\Presupuestos\presupuestos%20contrato%201%20SARDINATA\4.%20SARD%20-%20PRUSUPUESTO%20FINAL%20GARITA%20RESTAURANTE%20COCINA%20-%20BA&#209;O%20(1)(1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4.%20FO-SP-00-07%20A_PARCIAL%2002%20DE%20OBRA%20FP-CAT1%20(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gg\0bra%20552\PPTO%20ADMINISTRATIVO%2013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CIB\USERS\Gestion%20VRM\INDICADO\Gesti&#243;n98\INDICADO\DATO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Compartida\Users\Laura\AppData\Local\Temp\SHARE\ESTIMA\P7020\PROYECTO\730\CAMBIOS\Z2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CIB\USERS\WINDOWS\TEMP\DAT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inzon\c\GRCESAR\OPTIMIZA\MODELO\Enedic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FERTAS\7422\DPTO\CIVIL\7422CWX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astro\c\TEMP\INDICADO\DATO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r-proyect\COMPARTIDOS\DOCUME~1\CLBC\LOCALS~1\Temp\C.Lotus.Notes.Data\PRONRI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Input"/>
      <sheetName val="Summary"/>
      <sheetName val="LoanCalc"/>
      <sheetName val="CorpTax"/>
      <sheetName val="Export"/>
      <sheetName val="Import"/>
      <sheetName val="Yspack"/>
      <sheetName val="4-AGO-04"/>
      <sheetName val="CAPEX ACACIAS 90K"/>
      <sheetName val="API93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VOLUMETR."/>
      <sheetName val="PLANEADAS"/>
      <sheetName val="REALES"/>
      <sheetName val="DATOS (2)"/>
      <sheetName val="PRECIOS REAL"/>
      <sheetName val="TRANSFER"/>
      <sheetName val="PRECIOS PROG."/>
      <sheetName val="PRECIOS VOL."/>
      <sheetName val="ACUM. EXPORT"/>
      <sheetName val="PRECIOS PLAN"/>
      <sheetName val="PREC. I.P"/>
      <sheetName val="PREC. TRANSF."/>
      <sheetName val="CARGAS"/>
      <sheetName val="DATOS MARG."/>
      <sheetName val="REAL"/>
      <sheetName val="PLAN"/>
      <sheetName val="VOLUM"/>
      <sheetName val="Hoja2"/>
      <sheetName val="VR"/>
      <sheetName val="OPCIONES DE SIMULACION"/>
      <sheetName val="COSTOS DE TRANSPORTE"/>
      <sheetName val="BOUNDS &amp; ROWS"/>
      <sheetName val="COMPRA MATERIA PRIMA"/>
      <sheetName val="AIU"/>
      <sheetName val="CALCULO SALARIO"/>
      <sheetName val="VOLUMETR_"/>
      <sheetName val="DATOS_(2)"/>
      <sheetName val="PRECIOS_REAL"/>
      <sheetName val="PRECIOS_PROG_"/>
      <sheetName val="PRECIOS_VOL_"/>
      <sheetName val="ACUM__EXPORT"/>
      <sheetName val="PRECIOS_PLAN"/>
      <sheetName val="PREC__I_P"/>
      <sheetName val="PREC__TRANSF_"/>
      <sheetName val="DATOS_MARG_"/>
      <sheetName val="PARAMETROS"/>
      <sheetName val="A_A310"/>
      <sheetName val="A_G105"/>
      <sheetName val="A_G200"/>
      <sheetName val="Resultados"/>
      <sheetName val="MATRIZ"/>
      <sheetName val="VOLUMETR_1"/>
      <sheetName val="DATOS_(2)1"/>
      <sheetName val="PRECIOS_REAL1"/>
      <sheetName val="PRECIOS_PROG_1"/>
      <sheetName val="PRECIOS_VOL_1"/>
      <sheetName val="ACUM__EXPORT1"/>
      <sheetName val="PRECIOS_PLAN1"/>
      <sheetName val="PREC__I_P1"/>
      <sheetName val="PREC__TRANSF_1"/>
      <sheetName val="DATOS_MARG_1"/>
      <sheetName val="OPCIONES_DE_SIMULACION"/>
      <sheetName val="COSTOS_DE_TRANSPORTE"/>
      <sheetName val="BOUNDS_&amp;_ROWS"/>
      <sheetName val="COMPRA_MATERIA_PRIMA"/>
      <sheetName val="CALCULO_SALARIO"/>
      <sheetName val="API93"/>
      <sheetName val="Prestaciones y AIU"/>
      <sheetName val="Tabla5"/>
      <sheetName val="Estimado"/>
      <sheetName val="pressure"/>
      <sheetName val="140 kbbld Cus,BCF22"/>
      <sheetName val="Equipo"/>
      <sheetName val="VOLUMETR_2"/>
      <sheetName val="DATOS_(2)2"/>
      <sheetName val="PRECIOS_REAL2"/>
      <sheetName val="PRECIOS_PROG_2"/>
      <sheetName val="PRECIOS_VOL_2"/>
      <sheetName val="ACUM__EXPORT2"/>
      <sheetName val="PRECIOS_PLAN2"/>
      <sheetName val="PREC__I_P2"/>
      <sheetName val="PREC__TRANSF_2"/>
      <sheetName val="DATOS_MARG_2"/>
      <sheetName val="OPCIONES_DE_SIMULACION1"/>
      <sheetName val="COSTOS_DE_TRANSPORTE1"/>
      <sheetName val="BOUNDS_&amp;_ROWS1"/>
      <sheetName val="COMPRA_MATERIA_PRIMA1"/>
      <sheetName val="CALCULO_SALARIO1"/>
      <sheetName val="Prestaciones_y_AIU"/>
      <sheetName val="Tablas"/>
      <sheetName val="SABANA"/>
      <sheetName val="RESUMEN"/>
      <sheetName val="original_s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INST"/>
      <sheetName val="original_sist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AJUST"/>
      <sheetName val="CANTIDADES"/>
      <sheetName val="TRANSP. EXTRAS "/>
      <sheetName val="PRECIOS TOPE"/>
      <sheetName val="APU "/>
      <sheetName val="MANO DE OBRA"/>
      <sheetName val="MATERIALES"/>
      <sheetName val="CONCRETOS "/>
      <sheetName val="ORNAMENTACION"/>
      <sheetName val="PROGRAMACION Y FLUJO DE INV"/>
    </sheetNames>
    <sheetDataSet>
      <sheetData sheetId="0">
        <row r="3">
          <cell r="A3" t="str">
            <v xml:space="preserve">CONSTRUCCIÓN AULA DE CLASES SEDE  
EDUCATIVA SANTA RITA, VEREDA SANTA RITA 
MUNICIPIO DE SARDINATA, NORTE DE SANTANDER </v>
          </cell>
        </row>
        <row r="15">
          <cell r="C15" t="str">
            <v>ACERO DE REFUERZO 60000 PSI</v>
          </cell>
        </row>
        <row r="16">
          <cell r="B16" t="str">
            <v>2.3.3</v>
          </cell>
          <cell r="C16" t="str">
            <v>ACERO DE REFUERZO 37000 PSI</v>
          </cell>
        </row>
      </sheetData>
      <sheetData sheetId="1"/>
      <sheetData sheetId="2">
        <row r="20">
          <cell r="J20">
            <v>846.54400000000021</v>
          </cell>
        </row>
      </sheetData>
      <sheetData sheetId="3">
        <row r="136">
          <cell r="B136" t="str">
            <v>TUBERIA PVC-L Ø 2" (INC. ACCESORIOS)</v>
          </cell>
        </row>
      </sheetData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DE OBRA"/>
      <sheetName val="PRECIOS TOPE"/>
      <sheetName val="A.P.U. FINAL "/>
      <sheetName val="CANT"/>
      <sheetName val="CANT. 11.1 - 11.2 TRANSP. EXTRA"/>
      <sheetName val="MATERIALES"/>
      <sheetName val="MANO DE OBRA"/>
      <sheetName val="CONCRETOS"/>
      <sheetName val="PRESUPUESTO"/>
    </sheetNames>
    <sheetDataSet>
      <sheetData sheetId="0" refreshError="1"/>
      <sheetData sheetId="1" refreshError="1">
        <row r="1269">
          <cell r="B1269" t="str">
            <v>TRANSPORTE A LOMO DE MULA CARGA DE 100 Kg</v>
          </cell>
          <cell r="C1269" t="str">
            <v>Km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2">
          <cell r="D22">
            <v>1241.5872000000002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 transp. extra final "/>
      <sheetName val="CANTIDADES"/>
      <sheetName val="PRECIOS TOPE POR DEP"/>
      <sheetName val="MANO DE OBRA"/>
      <sheetName val="APU "/>
      <sheetName val="MATERIALES"/>
      <sheetName val="CONCRETOS"/>
      <sheetName val="TABLA GENERAL DE  MAT."/>
      <sheetName val="PRECIOS FERRETERIA"/>
    </sheetNames>
    <sheetDataSet>
      <sheetData sheetId="0">
        <row r="30">
          <cell r="E30">
            <v>240.16500000000002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CANTIDADES"/>
      <sheetName val="PRECIOS TOPE POR DEP"/>
      <sheetName val=" transp. extra final "/>
      <sheetName val="MANO DE OBRA"/>
      <sheetName val="APU "/>
      <sheetName val="MATERIALES"/>
      <sheetName val="CONCRETOS"/>
      <sheetName val="TABLA GENERAL DE  MAT."/>
      <sheetName val="PRECIOS FERRETERIA"/>
    </sheetNames>
    <sheetDataSet>
      <sheetData sheetId="0">
        <row r="30">
          <cell r="B30" t="str">
            <v>2.3.4</v>
          </cell>
          <cell r="C30" t="str">
            <v>MALLA ELECTROSOLDADA ESTÁNDAR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No1 - preliminar"/>
      <sheetName val="CERTIFICADO DE OBRA "/>
      <sheetName val="Lista de chequeo 90%"/>
      <sheetName val="Acta Parcial  No.2"/>
      <sheetName val="Acta Parcial  No.2 (2)"/>
      <sheetName val="LA GARITA "/>
      <sheetName val="LA PITA "/>
      <sheetName val="EL COMIENZO "/>
      <sheetName val="SANTA RITA"/>
      <sheetName val="Anexo al Acta Parcial o Final"/>
      <sheetName val="Hoja2"/>
    </sheetNames>
    <sheetDataSet>
      <sheetData sheetId="0"/>
      <sheetData sheetId="1"/>
      <sheetData sheetId="2"/>
      <sheetData sheetId="3">
        <row r="53">
          <cell r="O53">
            <v>510764.70588235295</v>
          </cell>
        </row>
        <row r="106">
          <cell r="O106">
            <v>45414956.850000001</v>
          </cell>
        </row>
        <row r="115">
          <cell r="O115">
            <v>869872.53781512612</v>
          </cell>
        </row>
        <row r="184">
          <cell r="O184">
            <v>81302594.100111768</v>
          </cell>
        </row>
        <row r="193">
          <cell r="O193">
            <v>2319811.7647058824</v>
          </cell>
        </row>
        <row r="270">
          <cell r="O270">
            <v>67306483.69303</v>
          </cell>
        </row>
        <row r="280">
          <cell r="O280">
            <v>803638.58823529421</v>
          </cell>
        </row>
        <row r="356">
          <cell r="O356">
            <v>48921313.876029998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.G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nálisis determinístico"/>
      <sheetName val="envío"/>
      <sheetName val="Modelo financiero"/>
      <sheetName val="API93"/>
      <sheetName val="PSM Monthly"/>
      <sheetName val="Análisis_determinístico"/>
      <sheetName val="Modelo_financiero"/>
      <sheetName val="Análisis_determinístico1"/>
      <sheetName val="Modelo_financiero1"/>
      <sheetName val="1. MODELO 60KB"/>
      <sheetName val="Hoja2"/>
      <sheetName val="BHA"/>
      <sheetName val="TABLA5"/>
      <sheetName val="PLAN CARGUE RIS (for nuevo)"/>
      <sheetName val="GCB2000"/>
      <sheetName val="PLANILLA"/>
      <sheetName val="TALLA"/>
      <sheetName val="Hoja3"/>
      <sheetName val="PLAN_CARGUE_RIS_(for_nuevo)"/>
      <sheetName val="PLAN_CARGUE_RIS_(for_nuevo)1"/>
      <sheetName val="Resumen"/>
      <sheetName val="Modelo Financiero Determ. "/>
      <sheetName val="Crudos"/>
      <sheetName val="TOVFEB."/>
      <sheetName val="C21_A310"/>
      <sheetName val="C21_G115"/>
      <sheetName val="C21_G220"/>
      <sheetName val="Ppto 2001"/>
      <sheetName val="CONTRATO"/>
      <sheetName val="Tabla"/>
      <sheetName val="Base Info"/>
      <sheetName val="DPC"/>
      <sheetName val="Estrategia"/>
      <sheetName val="Ppto_2001"/>
      <sheetName val="TOVFEB_"/>
      <sheetName val="Base_Info"/>
      <sheetName val="BRUTA-INY"/>
      <sheetName val="RES EQV"/>
      <sheetName val="RES GASOL"/>
      <sheetName val="RES PET"/>
      <sheetName val="RES GAS"/>
      <sheetName val="RES LPG"/>
      <sheetName val="POZOS"/>
      <sheetName val="RES_EQV"/>
      <sheetName val="RES_GASOL"/>
      <sheetName val="RES_PET"/>
      <sheetName val="RES_GAS"/>
      <sheetName val="RES_LPG"/>
      <sheetName val="Base_P10"/>
      <sheetName val="Base_P50"/>
      <sheetName val="Base_P90"/>
      <sheetName val="Prod_Inv_P10"/>
      <sheetName val="Prod_Inv_P50"/>
      <sheetName val="Prod_Inv_P90"/>
      <sheetName val="Todos"/>
      <sheetName val="Cuad 2.9 "/>
      <sheetName val="Ppto_20011"/>
      <sheetName val="TOVFEB_1"/>
      <sheetName val="Base_Info1"/>
      <sheetName val="RES_EQV1"/>
      <sheetName val="RES_GASOL1"/>
      <sheetName val="RES_PET1"/>
      <sheetName val="RES_GAS1"/>
      <sheetName val="RES_LPG1"/>
      <sheetName val="ASO"/>
      <sheetName val="Capital_Acum1"/>
      <sheetName val="Assume"/>
      <sheetName val="NOPAT_Acum1"/>
      <sheetName val="CONTRATOS"/>
      <sheetName val="DB"/>
      <sheetName val="Params"/>
      <sheetName val="Sheet1"/>
      <sheetName val="DB1"/>
      <sheetName val="ReserveData"/>
      <sheetName val="RollupParams"/>
      <sheetName val="BatchFeedback"/>
      <sheetName val="Cat"/>
      <sheetName val="Work"/>
      <sheetName val="LimitsSheet"/>
      <sheetName val="FormControls"/>
      <sheetName val="Versions"/>
      <sheetName val="RawData"/>
      <sheetName val="SaveParams"/>
      <sheetName val="IorStreams"/>
      <sheetName val="Maturity Matrix"/>
      <sheetName val="Calcs"/>
      <sheetName val="COSTOS_DE_TRANSPORTE1"/>
      <sheetName val="OPCIONES_DE_SIMULACION1"/>
      <sheetName val="COMPRA_MATERIA_PRIMA1"/>
      <sheetName val="Parametros Inversion"/>
      <sheetName val="APU"/>
      <sheetName val="Parámetros Formato"/>
      <sheetName val="#¡REF"/>
      <sheetName val="LISTA VALIDACION"/>
      <sheetName val="PYF100-2"/>
      <sheetName val="CrudosA"/>
      <sheetName val="casosWTI"/>
      <sheetName val="DCurva"/>
      <sheetName val="Inf.Semanal"/>
      <sheetName val="Main"/>
      <sheetName val="CorpTax"/>
      <sheetName val="Input"/>
      <sheetName val="Listas Desplegables"/>
      <sheetName val="Admin Cost Flow"/>
      <sheetName val="C.E cas"/>
      <sheetName val="INV $ cas"/>
      <sheetName val="ANS_DAB"/>
      <sheetName val="steel"/>
      <sheetName val="USED WELLS"/>
      <sheetName val="Hoja1"/>
      <sheetName val="PIA CASABE SUR ECP"/>
      <sheetName val="URCDIT"/>
      <sheetName val="PERSON"/>
      <sheetName val="CODIGOS PERDIDAS"/>
      <sheetName val="Datos_de_Entrada"/>
      <sheetName val="ListaEmpresas"/>
      <sheetName val="Lineas del PACC"/>
      <sheetName val="COL 21169"/>
      <sheetName val="Lista APU"/>
      <sheetName val="Tablas"/>
      <sheetName val="DEST. MEDIOS"/>
      <sheetName val="COMBUASF"/>
      <sheetName val="BALCRUDO"/>
      <sheetName val="PRECIOS"/>
      <sheetName val="CARGASPROC."/>
      <sheetName val="G L P  FINAL"/>
      <sheetName val="Graficos"/>
      <sheetName val="nombres"/>
      <sheetName val="Puntos"/>
      <sheetName val="BUFORM"/>
      <sheetName val="BUNUMBER"/>
      <sheetName val="INTROFORM"/>
      <sheetName val="INOUTFLOW"/>
      <sheetName val="TPNUMBER"/>
      <sheetName val="Ppto_20012"/>
      <sheetName val="TOVFEB_2"/>
      <sheetName val="Base_Info2"/>
      <sheetName val="RES_EQV2"/>
      <sheetName val="RES_GASOL2"/>
      <sheetName val="RES_PET2"/>
      <sheetName val="RES_GAS2"/>
      <sheetName val="RES_LPG2"/>
      <sheetName val="Cuad_2_9_"/>
      <sheetName val="Parametros_Inversion"/>
      <sheetName val="Maturity_Matrix"/>
      <sheetName val="Curves"/>
      <sheetName val="Note"/>
      <sheetName val="Heads"/>
      <sheetName val="Tables"/>
      <sheetName val="Page_2"/>
      <sheetName val="Dbase"/>
      <sheetName val="5094-200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INST"/>
      <sheetName val="original_sist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LAN CARGUE RIS (for nuevo)"/>
      <sheetName val="Análisis determinístico"/>
      <sheetName val="Modelo financiero"/>
      <sheetName val="GCB2000"/>
      <sheetName val="PLANILLA"/>
      <sheetName val="TALLA"/>
      <sheetName val="Hoja3"/>
      <sheetName val="Análisis_determinístico"/>
      <sheetName val="PLAN_CARGUE_RIS_(for_nuevo)"/>
      <sheetName val="Modelo_financiero"/>
      <sheetName val="Análisis_determinístico1"/>
      <sheetName val="PLAN_CARGUE_RIS_(for_nuevo)1"/>
      <sheetName val="Modelo_financiero1"/>
      <sheetName val="Resumen"/>
      <sheetName val="Modelo Financiero Determ. "/>
      <sheetName val="DCurva"/>
      <sheetName val="Inf.Semanal"/>
      <sheetName val="envío"/>
      <sheetName val="API93"/>
      <sheetName val="PSM Monthly"/>
      <sheetName val="1. MODELO 60KB"/>
      <sheetName val="Hoja2"/>
      <sheetName val="BHA"/>
      <sheetName val="Crudos"/>
      <sheetName val="TOVFEB."/>
      <sheetName val="C21_A310"/>
      <sheetName val="C21_G115"/>
      <sheetName val="C21_G220"/>
      <sheetName val="Ppto 2001"/>
      <sheetName val="CONTRATO"/>
      <sheetName val="Tabla"/>
      <sheetName val="Base Info"/>
      <sheetName val="DPC"/>
      <sheetName val="Estrategia"/>
      <sheetName val="Ppto_2001"/>
      <sheetName val="TOVFEB_"/>
      <sheetName val="Base_Info"/>
      <sheetName val="BRUTA-INY"/>
      <sheetName val="RES EQV"/>
      <sheetName val="RES GASOL"/>
      <sheetName val="RES PET"/>
      <sheetName val="RES GAS"/>
      <sheetName val="RES LPG"/>
      <sheetName val="POZOS"/>
      <sheetName val="RES_EQV"/>
      <sheetName val="RES_GASOL"/>
      <sheetName val="RES_PET"/>
      <sheetName val="RES_GAS"/>
      <sheetName val="RES_LPG"/>
      <sheetName val="Base_P10"/>
      <sheetName val="Base_P50"/>
      <sheetName val="Base_P90"/>
      <sheetName val="Prod_Inv_P10"/>
      <sheetName val="Prod_Inv_P50"/>
      <sheetName val="Prod_Inv_P90"/>
      <sheetName val="Todos"/>
      <sheetName val="Cuad 2.9 "/>
      <sheetName val="Ppto_20011"/>
      <sheetName val="TOVFEB_1"/>
      <sheetName val="Base_Info1"/>
      <sheetName val="RES_EQV1"/>
      <sheetName val="RES_GASOL1"/>
      <sheetName val="RES_PET1"/>
      <sheetName val="RES_GAS1"/>
      <sheetName val="RES_LPG1"/>
      <sheetName val="ASO"/>
      <sheetName val="Capital_Acum1"/>
      <sheetName val="Assume"/>
      <sheetName val="NOPAT_Acum1"/>
      <sheetName val="CONTRATOS"/>
      <sheetName val="DB"/>
      <sheetName val="Params"/>
      <sheetName val="Sheet1"/>
      <sheetName val="DB1"/>
      <sheetName val="ReserveData"/>
      <sheetName val="RollupParams"/>
      <sheetName val="BatchFeedback"/>
      <sheetName val="Cat"/>
      <sheetName val="Work"/>
      <sheetName val="LimitsSheet"/>
      <sheetName val="FormControls"/>
      <sheetName val="Versions"/>
      <sheetName val="RawData"/>
      <sheetName val="SaveParams"/>
      <sheetName val="IorStreams"/>
      <sheetName val="Maturity Matrix"/>
      <sheetName val="Calcs"/>
      <sheetName val="COSTOS_DE_TRANSPORTE1"/>
      <sheetName val="OPCIONES_DE_SIMULACION1"/>
      <sheetName val="COMPRA_MATERIA_PRIMA1"/>
      <sheetName val="Parametros Inversion"/>
      <sheetName val="Parámetros Formato"/>
      <sheetName val="APU"/>
      <sheetName val="#¡REF"/>
      <sheetName val="TABLA5"/>
      <sheetName val="LISTA VALIDACION"/>
      <sheetName val="PYF100-2"/>
      <sheetName val="CrudosA"/>
      <sheetName val="casosWTI"/>
      <sheetName val="Listas Desplegables"/>
      <sheetName val="Admin Cost Flow"/>
      <sheetName val="C.E cas"/>
      <sheetName val="INV $ cas"/>
      <sheetName val="ANS_DAB"/>
      <sheetName val="steel"/>
      <sheetName val="USED WELLS"/>
      <sheetName val="Hoja1"/>
      <sheetName val="PIA CASABE SUR ECP"/>
      <sheetName val="URCDIT"/>
      <sheetName val="PERSON"/>
      <sheetName val="CODIGOS PERDIDAS"/>
      <sheetName val="Datos_de_Entrada"/>
      <sheetName val="ListaEmpresas"/>
      <sheetName val="Lineas del PACC"/>
      <sheetName val="COL 21169"/>
      <sheetName val="Lista APU"/>
      <sheetName val="Tablas"/>
      <sheetName val="DEST. MEDIOS"/>
      <sheetName val="COMBUASF"/>
      <sheetName val="BALCRUDO"/>
      <sheetName val="PRECIOS"/>
      <sheetName val="CARGASPROC."/>
      <sheetName val="G L P  FINAL"/>
      <sheetName val="Graficos"/>
      <sheetName val="nombres"/>
      <sheetName val="Puntos"/>
      <sheetName val="Main"/>
      <sheetName val="CorpTax"/>
      <sheetName val="Input"/>
      <sheetName val="BUFORM"/>
      <sheetName val="BUNUMBER"/>
      <sheetName val="INTROFORM"/>
      <sheetName val="INOUTFLOW"/>
      <sheetName val="TPNUMBER"/>
      <sheetName val="Ppto_20012"/>
      <sheetName val="TOVFEB_2"/>
      <sheetName val="Base_Info2"/>
      <sheetName val="RES_EQV2"/>
      <sheetName val="RES_GASOL2"/>
      <sheetName val="RES_PET2"/>
      <sheetName val="RES_GAS2"/>
      <sheetName val="RES_LPG2"/>
      <sheetName val="Cuad_2_9_"/>
      <sheetName val="Parametros_Inversion"/>
      <sheetName val="Maturity_Matrix"/>
      <sheetName val="Curves"/>
      <sheetName val="Note"/>
      <sheetName val="Heads"/>
      <sheetName val="Tables"/>
      <sheetName val="Page_2"/>
      <sheetName val="Dbase"/>
      <sheetName val="5094-20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ENTRADA"/>
      <sheetName val="RESUMEN FORMA"/>
      <sheetName val="T'A"/>
      <sheetName val="SABANA"/>
      <sheetName val="CRUDOS"/>
      <sheetName val="PIMS-SOLUCION 2000"/>
      <sheetName val="MEZCLAS"/>
      <sheetName val="TKS"/>
      <sheetName val="RESUMEN"/>
      <sheetName val="SABANA UCR"/>
      <sheetName val="mto.electr."/>
      <sheetName val="API93"/>
      <sheetName val="EMPRESA"/>
      <sheetName val="DATOS CONTRATO"/>
      <sheetName val="LIQ-NOM"/>
      <sheetName val="NOMINA-1"/>
      <sheetName val="DATOS"/>
      <sheetName val="DATABASE"/>
      <sheetName val="Hoja3"/>
      <sheetName val="MANO DE OBRA"/>
      <sheetName val="1.1"/>
      <sheetName val="EQUIPO"/>
      <sheetName val="TUBERIA"/>
      <sheetName val="Hoja2"/>
      <sheetName val="MATERIALES"/>
      <sheetName val="DATOS_ENTRADA"/>
      <sheetName val="RESUMEN_FORMA"/>
      <sheetName val="PIMS-SOLUCION_2000"/>
      <sheetName val="SABANA_UCR"/>
      <sheetName val="mto_electr_"/>
      <sheetName val="DATOS_CONTRATO"/>
      <sheetName val="DATOS_ENTRADA1"/>
      <sheetName val="RESUMEN_FORMA1"/>
      <sheetName val="PIMS-SOLUCION_20001"/>
      <sheetName val="SABANA_UCR1"/>
      <sheetName val="mto_electr_1"/>
      <sheetName val="DATOS_CONTRATO1"/>
      <sheetName val="DPC"/>
      <sheetName val="Bases de Datos"/>
      <sheetName val="Instrucciones "/>
      <sheetName val="TABLA5"/>
      <sheetName val="Tablas"/>
      <sheetName val="COSTOS UNITARIOS"/>
      <sheetName val="CA-29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22CW00"/>
      <sheetName val="STRSUMM0"/>
      <sheetName val="CURVA S"/>
      <sheetName val="mto.electr."/>
      <sheetName val="Tabla5"/>
      <sheetName val="Com-MEC"/>
      <sheetName val="Curva &quot;S&quot; General"/>
      <sheetName val="steel"/>
      <sheetName val="1. MODELO 60KB"/>
      <sheetName val="civ_rom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Crudos"/>
      <sheetName val="TOVFEB."/>
      <sheetName val="GCB2000"/>
      <sheetName val="C21_A310"/>
      <sheetName val="C21_G115"/>
      <sheetName val="C21_G220"/>
      <sheetName val="Ppto 2001"/>
      <sheetName val="CONTRATO"/>
      <sheetName val="Tabla"/>
      <sheetName val="Base Info"/>
      <sheetName val="DPC"/>
      <sheetName val="Estrategia"/>
      <sheetName val="Ppto_2001"/>
      <sheetName val="TOVFEB_"/>
      <sheetName val="Base_Info"/>
      <sheetName val="BRUTA-INY"/>
      <sheetName val="RES EQV"/>
      <sheetName val="RES GASOL"/>
      <sheetName val="RES PET"/>
      <sheetName val="RES GAS"/>
      <sheetName val="RES LPG"/>
      <sheetName val="POZOS"/>
      <sheetName val="RES_EQV"/>
      <sheetName val="RES_GASOL"/>
      <sheetName val="RES_PET"/>
      <sheetName val="RES_GAS"/>
      <sheetName val="RES_LPG"/>
      <sheetName val="Base_P10"/>
      <sheetName val="Base_P50"/>
      <sheetName val="Base_P90"/>
      <sheetName val="Prod_Inv_P10"/>
      <sheetName val="Prod_Inv_P50"/>
      <sheetName val="Prod_Inv_P90"/>
      <sheetName val="Todos"/>
      <sheetName val="Cuad 2.9 "/>
      <sheetName val="Ppto_20011"/>
      <sheetName val="TOVFEB_1"/>
      <sheetName val="Base_Info1"/>
      <sheetName val="RES_EQV1"/>
      <sheetName val="RES_GASOL1"/>
      <sheetName val="RES_PET1"/>
      <sheetName val="RES_GAS1"/>
      <sheetName val="RES_LPG1"/>
      <sheetName val="ASO"/>
      <sheetName val="Capital_Acum1"/>
      <sheetName val="Assume"/>
      <sheetName val="NOPAT_Acum1"/>
      <sheetName val="CONTRATOS"/>
      <sheetName val="DB"/>
      <sheetName val="Params"/>
      <sheetName val="Sheet1"/>
      <sheetName val="DB1"/>
      <sheetName val="ReserveData"/>
      <sheetName val="RollupParams"/>
      <sheetName val="BatchFeedback"/>
      <sheetName val="Cat"/>
      <sheetName val="Work"/>
      <sheetName val="LimitsSheet"/>
      <sheetName val="FormControls"/>
      <sheetName val="Versions"/>
      <sheetName val="RawData"/>
      <sheetName val="SaveParams"/>
      <sheetName val="IorStreams"/>
      <sheetName val="Maturity Matrix"/>
      <sheetName val="Calcs"/>
      <sheetName val="COSTOS_DE_TRANSPORTE1"/>
      <sheetName val="OPCIONES_DE_SIMULACION1"/>
      <sheetName val="COMPRA_MATERIA_PRIMA1"/>
      <sheetName val="Parametros Inversion"/>
      <sheetName val="Parámetros Formato"/>
      <sheetName val="APU"/>
      <sheetName val="#¡REF"/>
      <sheetName val="LISTA VALIDACION"/>
      <sheetName val="PYF100-2"/>
      <sheetName val="CrudosA"/>
      <sheetName val="casosWTI"/>
      <sheetName val="PLAN CARGUE RIS (for nuevo)"/>
      <sheetName val="Análisis determinístico"/>
      <sheetName val="Modelo financiero"/>
      <sheetName val="PLANILLA"/>
      <sheetName val="TALLA"/>
      <sheetName val="Hoja3"/>
      <sheetName val="Análisis_determinístico"/>
      <sheetName val="PLAN_CARGUE_RIS_(for_nuevo)"/>
      <sheetName val="Modelo_financiero"/>
      <sheetName val="Análisis_determinístico1"/>
      <sheetName val="PLAN_CARGUE_RIS_(for_nuevo)1"/>
      <sheetName val="Modelo_financiero1"/>
      <sheetName val="Resumen"/>
      <sheetName val="Modelo Financiero Determ. "/>
      <sheetName val="envío"/>
      <sheetName val="API93"/>
      <sheetName val="PSM Monthly"/>
      <sheetName val="Hoja2"/>
      <sheetName val="1. MODELO 60KB"/>
      <sheetName val="BHA"/>
      <sheetName val="TABLA5"/>
      <sheetName val="DCurva"/>
      <sheetName val="Inf.Semanal"/>
      <sheetName val="BUFORM"/>
      <sheetName val="BUNUMBER"/>
      <sheetName val="INTROFORM"/>
      <sheetName val="INOUTFLOW"/>
      <sheetName val="TPNUMBER"/>
      <sheetName val="Ppto_20012"/>
      <sheetName val="TOVFEB_2"/>
      <sheetName val="Base_Info2"/>
      <sheetName val="RES_EQV2"/>
      <sheetName val="RES_GASOL2"/>
      <sheetName val="RES_PET2"/>
      <sheetName val="RES_GAS2"/>
      <sheetName val="RES_LPG2"/>
      <sheetName val="Cuad_2_9_"/>
      <sheetName val="Parametros_Inversion"/>
      <sheetName val="Maturity_Matrix"/>
      <sheetName val="Curves"/>
      <sheetName val="Note"/>
      <sheetName val="Heads"/>
      <sheetName val="Tables"/>
      <sheetName val="Page_2"/>
      <sheetName val="Dbase"/>
      <sheetName val="5094-200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 750"/>
      <sheetName val="59y22%"/>
      <sheetName val=" DESAR Y NO DESAR"/>
      <sheetName val="con 500"/>
      <sheetName val="con400 y posibles"/>
      <sheetName val="RC39,40,41,42"/>
      <sheetName val="GRAF.PRONOS"/>
      <sheetName val="Prod bas &amp; In Cto"/>
      <sheetName val="Tabla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FF739-9A82-4E18-A81A-F840E4DBFAD9}">
  <sheetPr>
    <pageSetUpPr fitToPage="1"/>
  </sheetPr>
  <dimension ref="A2:AB453"/>
  <sheetViews>
    <sheetView tabSelected="1" view="pageBreakPreview" topLeftCell="A10" zoomScale="59" zoomScaleNormal="59" zoomScaleSheetLayoutView="59" workbookViewId="0">
      <selection activeCell="K14" sqref="K14"/>
    </sheetView>
  </sheetViews>
  <sheetFormatPr defaultColWidth="11.42578125" defaultRowHeight="12"/>
  <cols>
    <col min="1" max="1" width="7.42578125" style="4" customWidth="1"/>
    <col min="2" max="2" width="14" style="4" customWidth="1"/>
    <col min="3" max="3" width="18.7109375" style="4" customWidth="1"/>
    <col min="4" max="4" width="17" style="4" customWidth="1"/>
    <col min="5" max="5" width="25.42578125" style="4" customWidth="1"/>
    <col min="6" max="6" width="15.5703125" style="4" customWidth="1"/>
    <col min="7" max="7" width="2.85546875" style="4" customWidth="1"/>
    <col min="8" max="8" width="9.5703125" style="4" customWidth="1"/>
    <col min="9" max="9" width="14.140625" style="541" customWidth="1"/>
    <col min="10" max="10" width="13.5703125" style="542" customWidth="1"/>
    <col min="11" max="11" width="27.5703125" style="679" customWidth="1"/>
    <col min="12" max="12" width="31.85546875" style="4" customWidth="1"/>
    <col min="13" max="13" width="6.5703125" style="4" customWidth="1"/>
    <col min="14" max="14" width="23" style="544" customWidth="1"/>
    <col min="15" max="15" width="27.5703125" style="679" customWidth="1"/>
    <col min="16" max="16" width="2.42578125" style="4" bestFit="1" customWidth="1"/>
    <col min="17" max="17" width="19.7109375" style="545" customWidth="1"/>
    <col min="18" max="18" width="24.7109375" style="4" customWidth="1"/>
    <col min="19" max="19" width="3.140625" style="4" customWidth="1"/>
    <col min="20" max="20" width="15.7109375" style="4" customWidth="1"/>
    <col min="21" max="21" width="27.42578125" style="679" customWidth="1"/>
    <col min="22" max="22" width="8.7109375" style="546" customWidth="1"/>
    <col min="23" max="23" width="7" style="546" customWidth="1"/>
    <col min="24" max="24" width="4.5703125" style="544" customWidth="1"/>
    <col min="25" max="25" width="25.28515625" style="4" hidden="1" customWidth="1"/>
    <col min="26" max="26" width="29.7109375" style="4" hidden="1" customWidth="1"/>
    <col min="27" max="27" width="27.28515625" style="4" customWidth="1"/>
    <col min="28" max="28" width="23.42578125" style="4" customWidth="1"/>
    <col min="29" max="16384" width="11.42578125" style="4"/>
  </cols>
  <sheetData>
    <row r="2" spans="2:24" ht="36.75" customHeight="1">
      <c r="B2" s="1057" t="s">
        <v>0</v>
      </c>
      <c r="C2" s="1058"/>
      <c r="D2" s="1059"/>
      <c r="E2" s="711" t="s">
        <v>1</v>
      </c>
      <c r="F2" s="712"/>
      <c r="G2" s="712"/>
      <c r="H2" s="712"/>
      <c r="I2" s="712"/>
      <c r="J2" s="712"/>
      <c r="K2" s="712"/>
      <c r="L2" s="712"/>
      <c r="M2" s="712"/>
      <c r="N2" s="712"/>
      <c r="O2" s="712"/>
      <c r="P2" s="713"/>
      <c r="Q2" s="1" t="s">
        <v>2</v>
      </c>
      <c r="R2" s="2" t="s">
        <v>3</v>
      </c>
      <c r="S2" s="2"/>
      <c r="T2" s="714" t="s">
        <v>0</v>
      </c>
      <c r="U2" s="715"/>
      <c r="V2" s="715"/>
      <c r="W2" s="716"/>
      <c r="X2" s="3"/>
    </row>
    <row r="3" spans="2:24" ht="47.25" customHeight="1">
      <c r="B3" s="1060"/>
      <c r="C3" s="1061"/>
      <c r="D3" s="1062"/>
      <c r="E3" s="720" t="s">
        <v>4</v>
      </c>
      <c r="F3" s="721"/>
      <c r="G3" s="721"/>
      <c r="H3" s="721"/>
      <c r="I3" s="721"/>
      <c r="J3" s="721"/>
      <c r="K3" s="721"/>
      <c r="L3" s="721"/>
      <c r="M3" s="721"/>
      <c r="N3" s="721"/>
      <c r="O3" s="721"/>
      <c r="P3" s="722"/>
      <c r="Q3" s="5" t="s">
        <v>5</v>
      </c>
      <c r="R3" s="2">
        <v>1</v>
      </c>
      <c r="S3" s="2"/>
      <c r="T3" s="717"/>
      <c r="U3" s="718"/>
      <c r="V3" s="718"/>
      <c r="W3" s="719"/>
      <c r="X3" s="6"/>
    </row>
    <row r="4" spans="2:24" ht="36.75" customHeight="1">
      <c r="B4" s="7"/>
      <c r="C4" s="8"/>
      <c r="D4" s="8"/>
      <c r="E4" s="9"/>
      <c r="F4" s="9"/>
      <c r="G4" s="9"/>
      <c r="H4" s="9"/>
      <c r="I4" s="10"/>
      <c r="J4" s="11"/>
      <c r="K4" s="12"/>
      <c r="L4" s="9"/>
      <c r="M4" s="9"/>
      <c r="N4" s="13"/>
      <c r="O4" s="12"/>
      <c r="P4" s="9"/>
      <c r="Q4" s="14"/>
      <c r="R4" s="9"/>
      <c r="S4" s="9"/>
      <c r="T4" s="9"/>
      <c r="U4" s="12"/>
      <c r="V4" s="15"/>
      <c r="W4" s="16"/>
      <c r="X4" s="17"/>
    </row>
    <row r="5" spans="2:24" ht="20.25">
      <c r="B5" s="723" t="s">
        <v>4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  <c r="M5" s="724"/>
      <c r="N5" s="724"/>
      <c r="O5" s="724"/>
      <c r="P5" s="724"/>
      <c r="Q5" s="724"/>
      <c r="R5" s="724"/>
      <c r="S5" s="724"/>
      <c r="T5" s="724"/>
      <c r="U5" s="724"/>
      <c r="V5" s="724"/>
      <c r="W5" s="725"/>
      <c r="X5" s="18"/>
    </row>
    <row r="6" spans="2:24" ht="21" thickBot="1"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0"/>
      <c r="S6" s="20"/>
      <c r="T6" s="20"/>
      <c r="U6" s="20"/>
      <c r="V6" s="20"/>
      <c r="W6" s="22"/>
      <c r="X6" s="18"/>
    </row>
    <row r="7" spans="2:24" ht="24" thickBot="1">
      <c r="B7" s="19"/>
      <c r="C7" s="20"/>
      <c r="D7" s="20"/>
      <c r="E7" s="20"/>
      <c r="F7" s="23" t="s">
        <v>6</v>
      </c>
      <c r="G7" s="23"/>
      <c r="H7" s="24"/>
      <c r="I7" s="25" t="s">
        <v>7</v>
      </c>
      <c r="J7" s="23"/>
      <c r="K7" s="23" t="s">
        <v>8</v>
      </c>
      <c r="L7" s="25">
        <v>2</v>
      </c>
      <c r="N7" s="23"/>
      <c r="O7" s="24"/>
      <c r="P7" s="23" t="s">
        <v>9</v>
      </c>
      <c r="Q7" s="26"/>
      <c r="R7" s="27"/>
      <c r="S7" s="20"/>
      <c r="T7" s="20"/>
      <c r="U7" s="20"/>
      <c r="V7" s="20"/>
      <c r="W7" s="22"/>
      <c r="X7" s="18"/>
    </row>
    <row r="8" spans="2:24" ht="20.25">
      <c r="B8" s="19"/>
      <c r="C8" s="20"/>
      <c r="D8" s="20"/>
      <c r="E8" s="20"/>
      <c r="F8" s="20"/>
      <c r="G8" s="20"/>
      <c r="H8" s="20"/>
      <c r="I8" s="28" t="s">
        <v>10</v>
      </c>
      <c r="J8" s="20"/>
      <c r="K8" s="20"/>
      <c r="L8" s="20"/>
      <c r="M8" s="20"/>
      <c r="N8" s="20"/>
      <c r="O8" s="20"/>
      <c r="P8" s="20"/>
      <c r="Q8" s="21"/>
      <c r="R8" s="28" t="s">
        <v>10</v>
      </c>
      <c r="S8" s="20"/>
      <c r="T8" s="20"/>
      <c r="U8" s="20"/>
      <c r="V8" s="20"/>
      <c r="W8" s="22"/>
      <c r="X8" s="18"/>
    </row>
    <row r="9" spans="2:24" customFormat="1" ht="21" thickBot="1">
      <c r="B9" s="29"/>
      <c r="D9" s="20"/>
      <c r="Q9" s="30"/>
      <c r="V9" s="31"/>
      <c r="W9" s="32"/>
      <c r="X9" s="33"/>
    </row>
    <row r="10" spans="2:24" ht="30" customHeight="1" thickBot="1">
      <c r="B10" s="34" t="s">
        <v>11</v>
      </c>
      <c r="C10" s="35"/>
      <c r="D10" s="20"/>
      <c r="E10" s="726" t="s">
        <v>12</v>
      </c>
      <c r="F10" s="727"/>
      <c r="G10" s="36"/>
      <c r="H10" s="728" t="s">
        <v>13</v>
      </c>
      <c r="I10" s="729"/>
      <c r="J10" s="729"/>
      <c r="K10" s="729"/>
      <c r="L10" s="729"/>
      <c r="M10" s="729"/>
      <c r="N10" s="729"/>
      <c r="O10" s="729"/>
      <c r="P10" s="729"/>
      <c r="Q10" s="730"/>
      <c r="R10" s="37"/>
      <c r="S10" s="37"/>
      <c r="T10" s="37"/>
      <c r="U10" s="38"/>
      <c r="V10" s="39"/>
      <c r="W10" s="40"/>
      <c r="X10" s="18"/>
    </row>
    <row r="11" spans="2:24" s="50" customFormat="1" ht="17.100000000000001" customHeight="1">
      <c r="B11" s="34"/>
      <c r="C11" s="35"/>
      <c r="D11" s="20"/>
      <c r="E11" s="41"/>
      <c r="F11" s="41"/>
      <c r="G11" s="41"/>
      <c r="H11" s="41"/>
      <c r="I11" s="42"/>
      <c r="J11" s="43"/>
      <c r="K11" s="44"/>
      <c r="L11" s="41"/>
      <c r="M11" s="41"/>
      <c r="N11" s="45"/>
      <c r="O11" s="46"/>
      <c r="P11" s="41"/>
      <c r="Q11" s="47"/>
      <c r="R11" s="35"/>
      <c r="S11" s="35"/>
      <c r="T11" s="41"/>
      <c r="U11" s="46"/>
      <c r="V11" s="41"/>
      <c r="W11" s="48"/>
      <c r="X11" s="49"/>
    </row>
    <row r="12" spans="2:24" s="57" customFormat="1" ht="10.15" customHeight="1" thickBot="1">
      <c r="B12" s="51"/>
      <c r="C12" s="52"/>
      <c r="D12" s="52"/>
      <c r="E12" s="52"/>
      <c r="F12" s="52"/>
      <c r="G12" s="52"/>
      <c r="H12" s="52"/>
      <c r="I12" s="42"/>
      <c r="J12" s="43"/>
      <c r="K12" s="53"/>
      <c r="L12" s="52"/>
      <c r="M12" s="52"/>
      <c r="N12" s="54"/>
      <c r="O12" s="53"/>
      <c r="P12" s="52"/>
      <c r="Q12" s="55"/>
      <c r="R12" s="52"/>
      <c r="S12" s="52"/>
      <c r="T12" s="52"/>
      <c r="U12" s="53"/>
      <c r="V12" s="39"/>
      <c r="W12" s="40"/>
      <c r="X12" s="56"/>
    </row>
    <row r="13" spans="2:24" s="57" customFormat="1" ht="39" customHeight="1" thickBot="1">
      <c r="B13" s="58" t="s">
        <v>14</v>
      </c>
      <c r="C13" s="59"/>
      <c r="D13" s="737" t="s">
        <v>15</v>
      </c>
      <c r="E13" s="738"/>
      <c r="F13" s="738"/>
      <c r="G13" s="738"/>
      <c r="H13" s="738"/>
      <c r="I13" s="739"/>
      <c r="J13" s="742" t="s">
        <v>16</v>
      </c>
      <c r="K13" s="742"/>
      <c r="L13" s="743" t="s">
        <v>17</v>
      </c>
      <c r="M13" s="744"/>
      <c r="N13" s="744"/>
      <c r="O13" s="744"/>
      <c r="P13" s="744"/>
      <c r="Q13" s="744"/>
      <c r="R13" s="744"/>
      <c r="S13" s="744"/>
      <c r="T13" s="744"/>
      <c r="U13" s="744"/>
      <c r="V13" s="745"/>
      <c r="W13" s="40"/>
      <c r="X13" s="56"/>
    </row>
    <row r="14" spans="2:24" s="57" customFormat="1" ht="39" customHeight="1" thickBot="1">
      <c r="B14" s="60"/>
      <c r="C14" s="61"/>
      <c r="D14" s="61"/>
      <c r="E14" s="61"/>
      <c r="F14" s="61"/>
      <c r="G14" s="61"/>
      <c r="H14" s="61"/>
      <c r="I14" s="42"/>
      <c r="J14" s="62"/>
      <c r="K14" s="63"/>
      <c r="L14" s="746"/>
      <c r="M14" s="747"/>
      <c r="N14" s="747"/>
      <c r="O14" s="747"/>
      <c r="P14" s="747"/>
      <c r="Q14" s="747"/>
      <c r="R14" s="747"/>
      <c r="S14" s="747"/>
      <c r="T14" s="747"/>
      <c r="U14" s="747"/>
      <c r="V14" s="748"/>
      <c r="W14" s="40"/>
      <c r="X14" s="56"/>
    </row>
    <row r="15" spans="2:24" s="57" customFormat="1" ht="39" customHeight="1" thickBot="1">
      <c r="B15" s="64" t="s">
        <v>18</v>
      </c>
      <c r="C15" s="59"/>
      <c r="D15" s="752" t="s">
        <v>19</v>
      </c>
      <c r="E15" s="753"/>
      <c r="F15" s="753"/>
      <c r="G15" s="753"/>
      <c r="H15" s="753"/>
      <c r="I15" s="754"/>
      <c r="J15" s="62"/>
      <c r="K15" s="65"/>
      <c r="L15" s="749"/>
      <c r="M15" s="750"/>
      <c r="N15" s="750"/>
      <c r="O15" s="750"/>
      <c r="P15" s="750"/>
      <c r="Q15" s="750"/>
      <c r="R15" s="750"/>
      <c r="S15" s="750"/>
      <c r="T15" s="750"/>
      <c r="U15" s="750"/>
      <c r="V15" s="751"/>
      <c r="W15" s="40"/>
      <c r="X15" s="56"/>
    </row>
    <row r="16" spans="2:24" s="57" customFormat="1" ht="22.5" customHeight="1">
      <c r="B16" s="60"/>
      <c r="C16" s="61"/>
      <c r="D16" s="66"/>
      <c r="E16" s="66"/>
      <c r="F16" s="66"/>
      <c r="G16" s="66"/>
      <c r="H16" s="66"/>
      <c r="I16" s="42"/>
      <c r="O16" s="67"/>
      <c r="P16" s="52"/>
      <c r="Q16" s="55"/>
      <c r="R16" s="52"/>
      <c r="S16" s="52"/>
      <c r="T16" s="52"/>
      <c r="U16" s="67"/>
      <c r="V16" s="39"/>
      <c r="W16" s="40"/>
      <c r="X16" s="56"/>
    </row>
    <row r="17" spans="2:24" s="57" customFormat="1" ht="12.95" customHeight="1" thickBot="1">
      <c r="B17" s="60"/>
      <c r="C17" s="61"/>
      <c r="D17" s="66"/>
      <c r="E17" s="66"/>
      <c r="F17" s="66"/>
      <c r="G17" s="66"/>
      <c r="H17" s="66"/>
      <c r="I17" s="42"/>
      <c r="J17" s="68"/>
      <c r="K17" s="69"/>
      <c r="L17" s="70"/>
      <c r="M17" s="71"/>
      <c r="N17" s="72"/>
      <c r="O17" s="67"/>
      <c r="P17" s="52"/>
      <c r="Q17" s="55"/>
      <c r="R17" s="52"/>
      <c r="S17" s="52"/>
      <c r="T17" s="52"/>
      <c r="U17" s="67"/>
      <c r="V17" s="39"/>
      <c r="W17" s="40"/>
      <c r="X17" s="56"/>
    </row>
    <row r="18" spans="2:24" s="50" customFormat="1" ht="36.75" customHeight="1" thickBot="1">
      <c r="B18" s="58"/>
      <c r="C18" s="59"/>
      <c r="D18" s="755"/>
      <c r="E18" s="755"/>
      <c r="F18" s="73"/>
      <c r="G18" s="73"/>
      <c r="H18" s="74"/>
      <c r="I18" s="75"/>
      <c r="J18" s="756" t="s">
        <v>20</v>
      </c>
      <c r="K18" s="756"/>
      <c r="L18" s="59" t="s">
        <v>21</v>
      </c>
      <c r="M18" s="757" t="s">
        <v>22</v>
      </c>
      <c r="N18" s="758"/>
      <c r="O18" s="67"/>
      <c r="P18" s="76"/>
      <c r="Q18" s="77" t="s">
        <v>23</v>
      </c>
      <c r="R18" s="59"/>
      <c r="S18" s="35" t="s">
        <v>21</v>
      </c>
      <c r="T18" s="759" t="s">
        <v>24</v>
      </c>
      <c r="U18" s="760"/>
      <c r="V18" s="39"/>
      <c r="W18" s="40"/>
      <c r="X18" s="49"/>
    </row>
    <row r="19" spans="2:24" s="57" customFormat="1" ht="12.95" customHeight="1" thickBot="1">
      <c r="B19" s="60"/>
      <c r="C19" s="61"/>
      <c r="D19" s="61"/>
      <c r="E19" s="61"/>
      <c r="F19" s="61"/>
      <c r="G19" s="61"/>
      <c r="H19" s="61"/>
      <c r="I19" s="42"/>
      <c r="J19" s="78"/>
      <c r="K19" s="79"/>
      <c r="L19" s="59"/>
      <c r="M19" s="80"/>
      <c r="N19" s="81"/>
      <c r="O19" s="53"/>
      <c r="P19" s="76"/>
      <c r="Q19" s="82"/>
      <c r="R19" s="66"/>
      <c r="S19" s="52"/>
      <c r="T19" s="83"/>
      <c r="U19" s="67"/>
      <c r="V19" s="39"/>
      <c r="W19" s="40"/>
      <c r="X19" s="56"/>
    </row>
    <row r="20" spans="2:24" s="50" customFormat="1" ht="23.25" customHeight="1" thickBot="1">
      <c r="B20" s="84"/>
      <c r="C20" s="59"/>
      <c r="D20" s="731"/>
      <c r="E20" s="731"/>
      <c r="F20" s="61"/>
      <c r="G20" s="61"/>
      <c r="H20" s="61"/>
      <c r="I20" s="42"/>
      <c r="J20" s="732" t="s">
        <v>25</v>
      </c>
      <c r="K20" s="732"/>
      <c r="L20" s="85" t="s">
        <v>21</v>
      </c>
      <c r="M20" s="733">
        <v>1133844207</v>
      </c>
      <c r="N20" s="734"/>
      <c r="O20" s="44"/>
      <c r="P20" s="76"/>
      <c r="Q20" s="77" t="s">
        <v>26</v>
      </c>
      <c r="R20" s="59"/>
      <c r="S20" s="35" t="s">
        <v>21</v>
      </c>
      <c r="T20" s="735">
        <v>44839</v>
      </c>
      <c r="U20" s="736"/>
      <c r="V20" s="39"/>
      <c r="W20" s="40"/>
      <c r="X20" s="49"/>
    </row>
    <row r="21" spans="2:24" s="57" customFormat="1" ht="12.95" customHeight="1" thickBot="1">
      <c r="B21" s="60"/>
      <c r="C21" s="61"/>
      <c r="D21" s="61"/>
      <c r="E21" s="61"/>
      <c r="F21" s="61"/>
      <c r="G21" s="61"/>
      <c r="H21" s="61"/>
      <c r="I21" s="42"/>
      <c r="J21" s="86"/>
      <c r="K21" s="65"/>
      <c r="L21" s="66"/>
      <c r="M21" s="71"/>
      <c r="N21" s="72"/>
      <c r="O21" s="53"/>
      <c r="P21" s="76"/>
      <c r="Q21" s="82"/>
      <c r="R21" s="66"/>
      <c r="S21" s="52"/>
      <c r="T21" s="83"/>
      <c r="U21" s="67"/>
      <c r="V21" s="39"/>
      <c r="W21" s="40"/>
      <c r="X21" s="56"/>
    </row>
    <row r="22" spans="2:24" s="50" customFormat="1" ht="25.5" customHeight="1" thickBot="1">
      <c r="B22" s="58" t="s">
        <v>27</v>
      </c>
      <c r="C22" s="59"/>
      <c r="D22" s="737" t="s">
        <v>28</v>
      </c>
      <c r="E22" s="738"/>
      <c r="F22" s="738"/>
      <c r="G22" s="738"/>
      <c r="H22" s="738"/>
      <c r="I22" s="739"/>
      <c r="J22" s="732" t="s">
        <v>29</v>
      </c>
      <c r="K22" s="732"/>
      <c r="M22" s="740">
        <v>0</v>
      </c>
      <c r="N22" s="741"/>
      <c r="O22" s="87"/>
      <c r="P22" s="76"/>
      <c r="Q22" s="77" t="s">
        <v>30</v>
      </c>
      <c r="R22" s="59"/>
      <c r="S22" s="35" t="s">
        <v>21</v>
      </c>
      <c r="T22" s="735">
        <v>44989</v>
      </c>
      <c r="U22" s="736"/>
      <c r="V22" s="39"/>
      <c r="W22" s="40"/>
      <c r="X22" s="49"/>
    </row>
    <row r="23" spans="2:24" s="50" customFormat="1" ht="24.75" customHeight="1" thickBot="1">
      <c r="B23" s="58"/>
      <c r="C23" s="59"/>
      <c r="D23" s="88"/>
      <c r="E23" s="88"/>
      <c r="F23" s="66"/>
      <c r="G23" s="66"/>
      <c r="H23" s="66"/>
      <c r="I23" s="42"/>
      <c r="O23" s="87"/>
      <c r="P23" s="76"/>
      <c r="Q23" s="89"/>
      <c r="V23" s="39"/>
      <c r="W23" s="40"/>
      <c r="X23" s="49"/>
    </row>
    <row r="24" spans="2:24" s="50" customFormat="1" ht="16.5" thickBot="1">
      <c r="B24" s="58"/>
      <c r="C24" s="59"/>
      <c r="D24" s="769"/>
      <c r="E24" s="769"/>
      <c r="F24" s="769"/>
      <c r="G24" s="769"/>
      <c r="H24" s="769"/>
      <c r="I24" s="769"/>
      <c r="J24" s="732" t="s">
        <v>31</v>
      </c>
      <c r="K24" s="732"/>
      <c r="L24" s="85" t="s">
        <v>21</v>
      </c>
      <c r="M24" s="770">
        <v>0</v>
      </c>
      <c r="N24" s="771"/>
      <c r="O24" s="87"/>
      <c r="P24" s="76"/>
      <c r="Q24" s="77" t="s">
        <v>32</v>
      </c>
      <c r="R24" s="59"/>
      <c r="S24" s="35" t="s">
        <v>21</v>
      </c>
      <c r="T24" s="765"/>
      <c r="U24" s="766"/>
      <c r="V24" s="39"/>
      <c r="W24" s="40"/>
      <c r="X24" s="49"/>
    </row>
    <row r="25" spans="2:24" s="50" customFormat="1" ht="18" customHeight="1" thickBot="1">
      <c r="B25" s="60"/>
      <c r="C25" s="61"/>
      <c r="D25" s="61"/>
      <c r="E25" s="66"/>
      <c r="F25" s="66"/>
      <c r="G25" s="66"/>
      <c r="H25" s="66"/>
      <c r="I25" s="42"/>
      <c r="J25" s="732" t="s">
        <v>33</v>
      </c>
      <c r="K25" s="732"/>
      <c r="L25" s="66"/>
      <c r="M25" s="763">
        <v>0</v>
      </c>
      <c r="N25" s="764"/>
      <c r="O25" s="87"/>
      <c r="P25" s="76"/>
      <c r="Q25" s="77" t="s">
        <v>34</v>
      </c>
      <c r="R25" s="59"/>
      <c r="S25" s="35" t="s">
        <v>21</v>
      </c>
      <c r="T25" s="765"/>
      <c r="U25" s="766"/>
      <c r="V25" s="39"/>
      <c r="W25" s="40"/>
      <c r="X25" s="49"/>
    </row>
    <row r="26" spans="2:24" s="50" customFormat="1" ht="16.5" thickBot="1">
      <c r="B26" s="58"/>
      <c r="C26" s="59"/>
      <c r="D26" s="761"/>
      <c r="E26" s="762"/>
      <c r="F26" s="66"/>
      <c r="G26" s="66"/>
      <c r="H26" s="66"/>
      <c r="I26" s="42"/>
      <c r="J26" s="732" t="s">
        <v>35</v>
      </c>
      <c r="K26" s="732"/>
      <c r="L26" s="66"/>
      <c r="M26" s="763">
        <v>0</v>
      </c>
      <c r="N26" s="764"/>
      <c r="O26" s="87"/>
      <c r="P26" s="76"/>
      <c r="Q26" s="77" t="s">
        <v>36</v>
      </c>
      <c r="R26" s="59"/>
      <c r="S26" s="59" t="s">
        <v>21</v>
      </c>
      <c r="T26" s="765"/>
      <c r="U26" s="766"/>
      <c r="V26" s="39"/>
      <c r="W26" s="40"/>
      <c r="X26" s="49"/>
    </row>
    <row r="27" spans="2:24" s="50" customFormat="1" ht="16.5" thickBot="1">
      <c r="B27" s="58"/>
      <c r="C27" s="59"/>
      <c r="D27" s="90"/>
      <c r="E27" s="91"/>
      <c r="F27" s="66"/>
      <c r="G27" s="66"/>
      <c r="H27" s="66"/>
      <c r="I27" s="42"/>
      <c r="J27" s="732" t="s">
        <v>37</v>
      </c>
      <c r="K27" s="732"/>
      <c r="L27" s="66"/>
      <c r="M27" s="767">
        <v>0</v>
      </c>
      <c r="N27" s="768"/>
      <c r="O27" s="87"/>
      <c r="P27" s="76"/>
      <c r="Q27" s="77" t="s">
        <v>38</v>
      </c>
      <c r="R27" s="59"/>
      <c r="S27" s="59"/>
      <c r="T27" s="765"/>
      <c r="U27" s="766"/>
      <c r="V27" s="39"/>
      <c r="W27" s="40"/>
      <c r="X27" s="49"/>
    </row>
    <row r="28" spans="2:24" s="50" customFormat="1" ht="16.5" thickBot="1">
      <c r="B28" s="58"/>
      <c r="C28" s="59"/>
      <c r="D28" s="90"/>
      <c r="E28" s="91"/>
      <c r="F28" s="66"/>
      <c r="G28" s="66"/>
      <c r="H28" s="66"/>
      <c r="I28" s="42"/>
      <c r="J28" s="92"/>
      <c r="K28" s="92"/>
      <c r="L28" s="85"/>
      <c r="M28" s="93"/>
      <c r="N28" s="93"/>
      <c r="O28" s="87"/>
      <c r="P28" s="76"/>
      <c r="Q28" s="94" t="s">
        <v>39</v>
      </c>
      <c r="R28" s="95"/>
      <c r="S28" s="96" t="s">
        <v>21</v>
      </c>
      <c r="T28" s="774" t="s">
        <v>40</v>
      </c>
      <c r="U28" s="775"/>
      <c r="V28" s="39"/>
      <c r="W28" s="40"/>
      <c r="X28" s="49"/>
    </row>
    <row r="29" spans="2:24" s="50" customFormat="1" ht="16.5" thickBot="1">
      <c r="B29" s="58"/>
      <c r="C29" s="59"/>
      <c r="D29" s="90"/>
      <c r="E29" s="91"/>
      <c r="F29" s="66"/>
      <c r="G29" s="66"/>
      <c r="H29" s="66"/>
      <c r="I29" s="42"/>
      <c r="J29" s="92"/>
      <c r="K29" s="92"/>
      <c r="L29" s="85"/>
      <c r="M29" s="93"/>
      <c r="N29" s="93"/>
      <c r="O29" s="87"/>
      <c r="P29" s="76"/>
      <c r="Q29" s="94"/>
      <c r="R29" s="95"/>
      <c r="S29" s="96"/>
      <c r="T29" s="97"/>
      <c r="U29" s="98"/>
      <c r="V29" s="39"/>
      <c r="W29" s="40"/>
      <c r="X29" s="49"/>
    </row>
    <row r="30" spans="2:24" s="50" customFormat="1" ht="36.75" customHeight="1" thickBot="1">
      <c r="B30" s="58"/>
      <c r="C30" s="59"/>
      <c r="D30" s="90"/>
      <c r="E30" s="91"/>
      <c r="F30" s="66"/>
      <c r="G30" s="66"/>
      <c r="H30" s="66"/>
      <c r="I30" s="42"/>
      <c r="J30" s="732" t="s">
        <v>41</v>
      </c>
      <c r="K30" s="732"/>
      <c r="L30" s="85" t="s">
        <v>21</v>
      </c>
      <c r="M30" s="779">
        <f>M20+M24+M25+M26+M27</f>
        <v>1133844207</v>
      </c>
      <c r="N30" s="780"/>
      <c r="O30" s="87"/>
      <c r="P30" s="76"/>
      <c r="Q30" s="94" t="s">
        <v>42</v>
      </c>
      <c r="R30" s="95"/>
      <c r="S30" s="95" t="s">
        <v>21</v>
      </c>
      <c r="T30" s="772" t="s">
        <v>43</v>
      </c>
      <c r="U30" s="773"/>
      <c r="V30" s="39"/>
      <c r="W30" s="40"/>
      <c r="X30" s="49"/>
    </row>
    <row r="31" spans="2:24" s="50" customFormat="1" ht="12.6" customHeight="1" thickBot="1">
      <c r="B31" s="99"/>
      <c r="C31" s="100"/>
      <c r="D31" s="100"/>
      <c r="E31" s="100"/>
      <c r="F31" s="66"/>
      <c r="G31" s="66"/>
      <c r="H31" s="66"/>
      <c r="I31" s="42"/>
      <c r="O31" s="87"/>
      <c r="P31" s="76"/>
      <c r="Q31" s="94"/>
      <c r="R31" s="95"/>
      <c r="S31" s="95"/>
      <c r="T31" s="101"/>
      <c r="U31" s="101"/>
      <c r="V31" s="39"/>
      <c r="W31" s="40"/>
      <c r="X31" s="49"/>
    </row>
    <row r="32" spans="2:24" s="50" customFormat="1" ht="23.25" customHeight="1" thickBot="1">
      <c r="B32" s="99"/>
      <c r="C32" s="100"/>
      <c r="D32" s="100"/>
      <c r="E32" s="100"/>
      <c r="F32" s="66"/>
      <c r="G32" s="66"/>
      <c r="H32" s="66"/>
      <c r="I32" s="42"/>
      <c r="O32" s="87"/>
      <c r="P32" s="76"/>
      <c r="Q32" s="94" t="s">
        <v>44</v>
      </c>
      <c r="R32" s="95"/>
      <c r="S32" s="96" t="s">
        <v>21</v>
      </c>
      <c r="T32" s="774" t="s">
        <v>45</v>
      </c>
      <c r="U32" s="775"/>
      <c r="V32" s="39"/>
      <c r="W32" s="40"/>
      <c r="X32" s="49"/>
    </row>
    <row r="33" spans="2:24" s="50" customFormat="1" ht="10.5" customHeight="1" thickBot="1">
      <c r="B33" s="84"/>
      <c r="C33" s="100"/>
      <c r="D33" s="731"/>
      <c r="E33" s="731"/>
      <c r="F33" s="66"/>
      <c r="G33" s="66"/>
      <c r="H33" s="66"/>
      <c r="I33" s="42"/>
      <c r="O33" s="87"/>
      <c r="P33" s="76"/>
      <c r="Q33" s="94"/>
      <c r="R33" s="95"/>
      <c r="S33" s="96"/>
      <c r="T33" s="97"/>
      <c r="U33" s="98"/>
      <c r="V33" s="39"/>
      <c r="W33" s="40"/>
      <c r="X33" s="49"/>
    </row>
    <row r="34" spans="2:24" s="50" customFormat="1" ht="43.15" customHeight="1" thickBot="1">
      <c r="B34" s="58"/>
      <c r="C34" s="59"/>
      <c r="D34" s="88"/>
      <c r="E34" s="88"/>
      <c r="F34" s="66"/>
      <c r="G34" s="66"/>
      <c r="H34" s="66"/>
      <c r="I34" s="42"/>
      <c r="O34" s="87"/>
      <c r="P34" s="76"/>
      <c r="Q34" s="94" t="s">
        <v>46</v>
      </c>
      <c r="R34" s="95"/>
      <c r="S34" s="95" t="s">
        <v>21</v>
      </c>
      <c r="T34" s="772" t="s">
        <v>47</v>
      </c>
      <c r="U34" s="773"/>
      <c r="V34" s="39"/>
      <c r="W34" s="40"/>
      <c r="X34" s="49"/>
    </row>
    <row r="35" spans="2:24" s="50" customFormat="1" ht="12" customHeight="1" thickBot="1">
      <c r="B35" s="58"/>
      <c r="C35" s="59"/>
      <c r="D35" s="88"/>
      <c r="E35" s="88"/>
      <c r="F35" s="66"/>
      <c r="G35" s="66"/>
      <c r="H35" s="66"/>
      <c r="I35" s="42"/>
      <c r="O35" s="87"/>
      <c r="P35" s="76"/>
      <c r="Q35" s="94"/>
      <c r="R35" s="95"/>
      <c r="S35" s="95"/>
      <c r="T35" s="97"/>
      <c r="U35" s="98"/>
      <c r="V35" s="39"/>
      <c r="W35" s="40"/>
      <c r="X35" s="49"/>
    </row>
    <row r="36" spans="2:24" s="50" customFormat="1" ht="43.15" customHeight="1" thickBot="1">
      <c r="B36" s="58"/>
      <c r="C36" s="59"/>
      <c r="D36" s="88"/>
      <c r="E36" s="88"/>
      <c r="F36" s="66"/>
      <c r="G36" s="66"/>
      <c r="H36" s="66"/>
      <c r="I36" s="42"/>
      <c r="O36" s="87"/>
      <c r="P36" s="76"/>
      <c r="Q36" s="94" t="s">
        <v>48</v>
      </c>
      <c r="R36" s="95"/>
      <c r="S36" s="96" t="s">
        <v>21</v>
      </c>
      <c r="T36" s="774" t="s">
        <v>49</v>
      </c>
      <c r="U36" s="775"/>
      <c r="V36" s="39"/>
      <c r="W36" s="40"/>
      <c r="X36" s="49"/>
    </row>
    <row r="37" spans="2:24" s="50" customFormat="1" ht="10.15" customHeight="1" thickBot="1">
      <c r="B37" s="58"/>
      <c r="C37" s="59"/>
      <c r="D37" s="88"/>
      <c r="E37" s="88"/>
      <c r="F37" s="66"/>
      <c r="G37" s="66"/>
      <c r="H37" s="66"/>
      <c r="I37" s="42"/>
      <c r="O37" s="87"/>
      <c r="P37" s="76"/>
      <c r="Q37" s="94"/>
      <c r="R37" s="95"/>
      <c r="S37" s="96"/>
      <c r="T37" s="97"/>
      <c r="U37" s="98"/>
      <c r="V37" s="39"/>
      <c r="W37" s="40"/>
      <c r="X37" s="49"/>
    </row>
    <row r="38" spans="2:24" s="50" customFormat="1" ht="43.15" customHeight="1" thickBot="1">
      <c r="B38" s="58"/>
      <c r="C38" s="59"/>
      <c r="D38" s="88"/>
      <c r="E38" s="88"/>
      <c r="F38" s="66"/>
      <c r="G38" s="66"/>
      <c r="H38" s="66"/>
      <c r="I38" s="42"/>
      <c r="O38" s="87"/>
      <c r="P38" s="76"/>
      <c r="Q38" s="94" t="s">
        <v>46</v>
      </c>
      <c r="R38" s="95"/>
      <c r="S38" s="95" t="s">
        <v>21</v>
      </c>
      <c r="T38" s="772" t="s">
        <v>50</v>
      </c>
      <c r="U38" s="773"/>
      <c r="V38" s="39"/>
      <c r="W38" s="40"/>
      <c r="X38" s="49"/>
    </row>
    <row r="39" spans="2:24" s="50" customFormat="1" ht="9" customHeight="1" thickBot="1">
      <c r="B39" s="58"/>
      <c r="C39" s="59"/>
      <c r="D39" s="88"/>
      <c r="E39" s="88"/>
      <c r="F39" s="66"/>
      <c r="G39" s="66"/>
      <c r="H39" s="66"/>
      <c r="I39" s="42"/>
      <c r="J39" s="92"/>
      <c r="K39" s="92"/>
      <c r="L39" s="85"/>
      <c r="M39" s="102"/>
      <c r="N39" s="102"/>
      <c r="O39" s="87"/>
      <c r="P39" s="76"/>
      <c r="Q39" s="94"/>
      <c r="R39" s="95"/>
      <c r="S39" s="95"/>
      <c r="T39" s="101"/>
      <c r="U39" s="101"/>
      <c r="V39" s="39"/>
      <c r="W39" s="40"/>
      <c r="X39" s="49"/>
    </row>
    <row r="40" spans="2:24" s="50" customFormat="1" ht="30.75" customHeight="1" thickBot="1">
      <c r="B40" s="58"/>
      <c r="C40" s="59"/>
      <c r="D40" s="88"/>
      <c r="E40" s="88"/>
      <c r="F40" s="66"/>
      <c r="G40" s="66"/>
      <c r="H40" s="66"/>
      <c r="I40" s="42"/>
      <c r="J40" s="776" t="s">
        <v>51</v>
      </c>
      <c r="K40" s="777"/>
      <c r="L40" s="778"/>
      <c r="M40" s="779">
        <f>IFERROR(TRUNC(O435,0),0)</f>
        <v>326047724</v>
      </c>
      <c r="N40" s="780"/>
      <c r="O40" s="87"/>
      <c r="P40" s="76"/>
      <c r="Q40" s="94" t="s">
        <v>52</v>
      </c>
      <c r="R40" s="95"/>
      <c r="S40" s="96" t="s">
        <v>21</v>
      </c>
      <c r="T40" s="774" t="s">
        <v>53</v>
      </c>
      <c r="U40" s="775"/>
      <c r="V40" s="39"/>
      <c r="W40" s="40"/>
      <c r="X40" s="49"/>
    </row>
    <row r="41" spans="2:24" s="50" customFormat="1" ht="6.75" customHeight="1" thickBot="1">
      <c r="B41" s="58"/>
      <c r="C41" s="59"/>
      <c r="D41" s="88"/>
      <c r="E41" s="88"/>
      <c r="F41" s="66"/>
      <c r="G41" s="66"/>
      <c r="H41" s="66"/>
      <c r="I41" s="42"/>
      <c r="J41" s="92"/>
      <c r="K41" s="92"/>
      <c r="L41" s="103"/>
      <c r="M41" s="104"/>
      <c r="N41" s="104"/>
      <c r="O41" s="87"/>
      <c r="P41" s="76"/>
      <c r="Q41" s="105"/>
      <c r="R41" s="98"/>
      <c r="S41" s="98"/>
      <c r="T41" s="106"/>
      <c r="U41" s="97"/>
      <c r="V41" s="39"/>
      <c r="W41" s="40"/>
      <c r="X41" s="49"/>
    </row>
    <row r="42" spans="2:24" s="50" customFormat="1" ht="21.75" customHeight="1" thickBot="1">
      <c r="B42" s="795"/>
      <c r="C42" s="796"/>
      <c r="D42" s="796"/>
      <c r="E42" s="796"/>
      <c r="F42" s="796"/>
      <c r="G42" s="796"/>
      <c r="H42" s="796"/>
      <c r="I42" s="796"/>
      <c r="J42" s="796"/>
      <c r="K42" s="796"/>
      <c r="L42" s="107"/>
      <c r="M42" s="108"/>
      <c r="N42" s="109"/>
      <c r="O42" s="110"/>
      <c r="P42" s="111"/>
      <c r="Q42" s="797" t="s">
        <v>54</v>
      </c>
      <c r="R42" s="797"/>
      <c r="S42" s="96" t="s">
        <v>21</v>
      </c>
      <c r="T42" s="774" t="s">
        <v>55</v>
      </c>
      <c r="U42" s="775"/>
      <c r="V42" s="112"/>
      <c r="W42" s="113"/>
      <c r="X42" s="49"/>
    </row>
    <row r="43" spans="2:24" s="50" customFormat="1" ht="12" customHeight="1" thickBot="1">
      <c r="B43" s="114"/>
      <c r="C43" s="115"/>
      <c r="D43" s="115"/>
      <c r="E43" s="115"/>
      <c r="F43" s="115"/>
      <c r="G43" s="115"/>
      <c r="H43" s="115"/>
      <c r="I43" s="115"/>
      <c r="J43" s="115"/>
      <c r="K43" s="115"/>
      <c r="L43" s="107"/>
      <c r="M43" s="108"/>
      <c r="N43" s="109"/>
      <c r="O43" s="110"/>
      <c r="P43" s="111"/>
      <c r="Q43" s="94"/>
      <c r="R43" s="95"/>
      <c r="S43" s="96"/>
      <c r="T43" s="97"/>
      <c r="U43" s="97"/>
      <c r="V43" s="112"/>
      <c r="W43" s="113"/>
      <c r="X43" s="49"/>
    </row>
    <row r="44" spans="2:24" s="50" customFormat="1" ht="28.5" customHeight="1" thickBot="1">
      <c r="B44" s="114"/>
      <c r="C44" s="115"/>
      <c r="D44" s="115"/>
      <c r="E44" s="115"/>
      <c r="F44" s="115"/>
      <c r="G44" s="115"/>
      <c r="H44" s="115"/>
      <c r="I44" s="115"/>
      <c r="J44" s="115"/>
      <c r="K44" s="115"/>
      <c r="L44" s="107"/>
      <c r="M44" s="108"/>
      <c r="N44" s="109"/>
      <c r="O44" s="110"/>
      <c r="P44" s="111"/>
      <c r="Q44" s="797" t="s">
        <v>56</v>
      </c>
      <c r="R44" s="797"/>
      <c r="S44" s="96"/>
      <c r="T44" s="116" t="s">
        <v>57</v>
      </c>
      <c r="U44" s="117"/>
      <c r="V44" s="112"/>
      <c r="W44" s="113"/>
      <c r="X44" s="49"/>
    </row>
    <row r="45" spans="2:24" s="50" customFormat="1" ht="13.5" customHeight="1" thickBot="1">
      <c r="B45" s="114"/>
      <c r="C45" s="115"/>
      <c r="D45" s="115"/>
      <c r="E45" s="115"/>
      <c r="F45" s="115"/>
      <c r="G45" s="115"/>
      <c r="H45" s="115"/>
      <c r="I45" s="115"/>
      <c r="J45" s="115"/>
      <c r="K45" s="115"/>
      <c r="L45" s="107"/>
      <c r="M45" s="108"/>
      <c r="N45" s="109"/>
      <c r="O45" s="110"/>
      <c r="P45" s="111"/>
      <c r="Q45" s="94"/>
      <c r="R45" s="95"/>
      <c r="S45" s="96"/>
      <c r="T45" s="118"/>
      <c r="U45" s="118"/>
      <c r="V45" s="112"/>
      <c r="W45" s="113"/>
      <c r="X45" s="49"/>
    </row>
    <row r="46" spans="2:24" s="50" customFormat="1" ht="22.5" customHeight="1">
      <c r="B46" s="114"/>
      <c r="C46" s="115"/>
      <c r="D46" s="115"/>
      <c r="E46" s="115"/>
      <c r="F46" s="115"/>
      <c r="G46" s="115"/>
      <c r="H46" s="115"/>
      <c r="I46" s="115"/>
      <c r="J46" s="798" t="s">
        <v>58</v>
      </c>
      <c r="K46" s="799"/>
      <c r="L46" s="799"/>
      <c r="M46" s="799"/>
      <c r="N46" s="799"/>
      <c r="O46" s="799"/>
      <c r="P46" s="799"/>
      <c r="Q46" s="800"/>
      <c r="R46" s="95"/>
      <c r="S46" s="96"/>
      <c r="T46" s="119"/>
      <c r="U46" s="119"/>
      <c r="V46" s="112"/>
      <c r="W46" s="113"/>
      <c r="X46" s="49"/>
    </row>
    <row r="47" spans="2:24" s="50" customFormat="1" ht="22.5" customHeight="1" thickBot="1">
      <c r="B47" s="120"/>
      <c r="C47" s="121"/>
      <c r="D47" s="121"/>
      <c r="E47" s="804"/>
      <c r="F47" s="804"/>
      <c r="G47" s="122"/>
      <c r="H47" s="121"/>
      <c r="I47" s="121"/>
      <c r="J47" s="801"/>
      <c r="K47" s="802"/>
      <c r="L47" s="802"/>
      <c r="M47" s="802"/>
      <c r="N47" s="802"/>
      <c r="O47" s="802"/>
      <c r="P47" s="802"/>
      <c r="Q47" s="803"/>
      <c r="V47" s="123"/>
      <c r="W47" s="113"/>
      <c r="X47" s="49"/>
    </row>
    <row r="48" spans="2:24" s="50" customFormat="1" ht="15" customHeight="1">
      <c r="B48" s="124"/>
      <c r="C48" s="125"/>
      <c r="D48" s="126"/>
      <c r="E48" s="127"/>
      <c r="F48" s="128"/>
      <c r="G48" s="128"/>
      <c r="H48" s="129"/>
      <c r="I48" s="127"/>
      <c r="J48" s="127"/>
      <c r="K48" s="130"/>
      <c r="L48" s="131"/>
      <c r="M48" s="131"/>
      <c r="N48" s="131"/>
      <c r="Q48" s="89"/>
      <c r="V48" s="123"/>
      <c r="W48" s="113"/>
      <c r="X48" s="49"/>
    </row>
    <row r="49" spans="1:26" ht="32.450000000000003" customHeight="1">
      <c r="B49" s="132"/>
      <c r="C49" s="133"/>
      <c r="D49" s="133"/>
      <c r="E49" s="133"/>
      <c r="F49" s="133"/>
      <c r="G49" s="133"/>
      <c r="H49" s="133"/>
      <c r="I49" s="134"/>
      <c r="J49" s="135"/>
      <c r="K49" s="136"/>
      <c r="L49" s="133"/>
      <c r="M49" s="133"/>
      <c r="N49" s="137"/>
      <c r="O49" s="138"/>
      <c r="P49" s="133"/>
      <c r="Q49" s="139"/>
      <c r="R49" s="133"/>
      <c r="S49" s="133"/>
      <c r="T49" s="133"/>
      <c r="U49" s="138"/>
      <c r="V49" s="140"/>
      <c r="W49" s="141"/>
      <c r="X49" s="18"/>
    </row>
    <row r="50" spans="1:26" ht="39.6" customHeight="1">
      <c r="B50" s="142"/>
      <c r="C50" s="111"/>
      <c r="D50" s="111"/>
      <c r="E50" s="111"/>
      <c r="F50" s="111"/>
      <c r="G50" s="111"/>
      <c r="H50" s="111"/>
      <c r="I50" s="143"/>
      <c r="J50" s="144"/>
      <c r="K50" s="145"/>
      <c r="L50" s="111"/>
      <c r="M50" s="111"/>
      <c r="N50" s="146"/>
      <c r="O50" s="145"/>
      <c r="P50" s="111"/>
      <c r="Q50" s="147"/>
      <c r="R50" s="111"/>
      <c r="S50" s="111"/>
      <c r="T50" s="111"/>
      <c r="U50" s="145"/>
      <c r="V50" s="112"/>
      <c r="W50" s="112"/>
      <c r="X50" s="18"/>
    </row>
    <row r="51" spans="1:26" s="150" customFormat="1" ht="42" customHeight="1">
      <c r="A51" s="4"/>
      <c r="B51" s="781" t="s">
        <v>59</v>
      </c>
      <c r="C51" s="782"/>
      <c r="D51" s="782"/>
      <c r="E51" s="782"/>
      <c r="F51" s="782"/>
      <c r="G51" s="782"/>
      <c r="H51" s="782"/>
      <c r="I51" s="782"/>
      <c r="J51" s="782"/>
      <c r="K51" s="782"/>
      <c r="L51" s="783"/>
      <c r="M51" s="148"/>
      <c r="N51" s="784" t="s">
        <v>60</v>
      </c>
      <c r="O51" s="785"/>
      <c r="P51" s="785"/>
      <c r="Q51" s="785"/>
      <c r="R51" s="785"/>
      <c r="S51" s="785"/>
      <c r="T51" s="785"/>
      <c r="U51" s="785"/>
      <c r="V51" s="785"/>
      <c r="W51" s="786"/>
      <c r="X51" s="149"/>
    </row>
    <row r="52" spans="1:26" s="150" customFormat="1" ht="3" customHeight="1" thickBot="1">
      <c r="B52" s="151"/>
      <c r="C52" s="152"/>
      <c r="D52" s="152"/>
      <c r="E52" s="152"/>
      <c r="F52" s="152"/>
      <c r="G52" s="152"/>
      <c r="H52" s="152"/>
      <c r="I52" s="153"/>
      <c r="J52" s="154"/>
      <c r="K52" s="155"/>
      <c r="L52" s="152"/>
      <c r="M52" s="152"/>
      <c r="N52" s="156"/>
      <c r="O52" s="155"/>
      <c r="P52" s="152"/>
      <c r="Q52" s="157"/>
      <c r="R52" s="152"/>
      <c r="S52" s="152"/>
      <c r="T52" s="152"/>
      <c r="U52" s="155"/>
      <c r="V52" s="158"/>
      <c r="W52" s="158"/>
      <c r="X52" s="149"/>
    </row>
    <row r="53" spans="1:26" s="150" customFormat="1" ht="29.25" customHeight="1">
      <c r="B53" s="159">
        <v>1</v>
      </c>
      <c r="C53" s="787" t="s">
        <v>61</v>
      </c>
      <c r="D53" s="788"/>
      <c r="E53" s="788"/>
      <c r="F53" s="788"/>
      <c r="G53" s="788"/>
      <c r="H53" s="788"/>
      <c r="I53" s="788"/>
      <c r="J53" s="788"/>
      <c r="K53" s="788"/>
      <c r="L53" s="789"/>
      <c r="M53" s="160"/>
      <c r="N53" s="790" t="s">
        <v>62</v>
      </c>
      <c r="O53" s="791"/>
      <c r="P53" s="160"/>
      <c r="Q53" s="792" t="s">
        <v>63</v>
      </c>
      <c r="R53" s="793"/>
      <c r="S53" s="161"/>
      <c r="T53" s="792" t="s">
        <v>64</v>
      </c>
      <c r="U53" s="794"/>
      <c r="V53" s="794"/>
      <c r="W53" s="793"/>
      <c r="X53" s="162"/>
      <c r="Y53" s="163"/>
      <c r="Z53" s="163"/>
    </row>
    <row r="54" spans="1:26" s="150" customFormat="1" ht="29.25" customHeight="1">
      <c r="B54" s="164"/>
      <c r="C54" s="813" t="s">
        <v>65</v>
      </c>
      <c r="D54" s="814"/>
      <c r="E54" s="814"/>
      <c r="F54" s="814"/>
      <c r="G54" s="814"/>
      <c r="H54" s="815"/>
      <c r="I54" s="165"/>
      <c r="J54" s="166"/>
      <c r="K54" s="167"/>
      <c r="L54" s="168"/>
      <c r="M54" s="160"/>
      <c r="N54" s="169" t="s">
        <v>66</v>
      </c>
      <c r="O54" s="170" t="s">
        <v>67</v>
      </c>
      <c r="P54" s="171"/>
      <c r="Q54" s="172" t="s">
        <v>66</v>
      </c>
      <c r="R54" s="169" t="s">
        <v>67</v>
      </c>
      <c r="S54" s="171"/>
      <c r="T54" s="169" t="s">
        <v>66</v>
      </c>
      <c r="U54" s="170" t="s">
        <v>68</v>
      </c>
      <c r="V54" s="824" t="s">
        <v>69</v>
      </c>
      <c r="W54" s="825"/>
      <c r="X54" s="162"/>
      <c r="Y54" s="163"/>
      <c r="Z54" s="163"/>
    </row>
    <row r="55" spans="1:26" s="150" customFormat="1" ht="24" customHeight="1">
      <c r="B55" s="173">
        <v>1</v>
      </c>
      <c r="C55" s="805" t="s">
        <v>70</v>
      </c>
      <c r="D55" s="806"/>
      <c r="E55" s="806"/>
      <c r="F55" s="806"/>
      <c r="G55" s="806"/>
      <c r="H55" s="807"/>
      <c r="I55" s="174" t="s">
        <v>71</v>
      </c>
      <c r="J55" s="175">
        <v>70</v>
      </c>
      <c r="K55" s="176">
        <f>26865/1.19</f>
        <v>22575.63025210084</v>
      </c>
      <c r="L55" s="177">
        <f>J55*K55</f>
        <v>1580294.1176470588</v>
      </c>
      <c r="M55" s="171"/>
      <c r="N55" s="178"/>
      <c r="O55" s="179">
        <f>ROUND(N55*K55,2)</f>
        <v>0</v>
      </c>
      <c r="P55" s="171"/>
      <c r="Q55" s="180">
        <v>70</v>
      </c>
      <c r="R55" s="181">
        <f>Q55*K55</f>
        <v>1580294.1176470588</v>
      </c>
      <c r="S55" s="171"/>
      <c r="T55" s="182">
        <f>Q55+N55</f>
        <v>70</v>
      </c>
      <c r="U55" s="183">
        <f>T55*K55</f>
        <v>1580294.1176470588</v>
      </c>
      <c r="V55" s="184"/>
      <c r="W55" s="185"/>
      <c r="X55" s="149"/>
    </row>
    <row r="56" spans="1:26" s="150" customFormat="1" ht="27" customHeight="1">
      <c r="B56" s="173">
        <v>2</v>
      </c>
      <c r="C56" s="805" t="s">
        <v>72</v>
      </c>
      <c r="D56" s="806"/>
      <c r="E56" s="806"/>
      <c r="F56" s="806"/>
      <c r="G56" s="806"/>
      <c r="H56" s="807"/>
      <c r="I56" s="186" t="s">
        <v>71</v>
      </c>
      <c r="J56" s="187">
        <v>70</v>
      </c>
      <c r="K56" s="176">
        <f>20653/1.19</f>
        <v>17355.462184873952</v>
      </c>
      <c r="L56" s="177">
        <f t="shared" ref="L56:L59" si="0">J56*K56</f>
        <v>1214882.3529411766</v>
      </c>
      <c r="M56" s="171"/>
      <c r="N56" s="178"/>
      <c r="O56" s="179">
        <f t="shared" ref="O56:O59" si="1">ROUND(N56*K56,2)</f>
        <v>0</v>
      </c>
      <c r="P56" s="171"/>
      <c r="Q56" s="180">
        <v>70</v>
      </c>
      <c r="R56" s="181">
        <f t="shared" ref="R56:R58" si="2">Q56*K56</f>
        <v>1214882.3529411766</v>
      </c>
      <c r="S56" s="171"/>
      <c r="T56" s="182">
        <f>Q56+N56</f>
        <v>70</v>
      </c>
      <c r="U56" s="183">
        <f>T56*K56</f>
        <v>1214882.3529411766</v>
      </c>
      <c r="V56" s="184"/>
      <c r="W56" s="185"/>
      <c r="X56" s="149"/>
    </row>
    <row r="57" spans="1:26" s="150" customFormat="1" ht="27" customHeight="1">
      <c r="B57" s="173">
        <v>3</v>
      </c>
      <c r="C57" s="805" t="s">
        <v>73</v>
      </c>
      <c r="D57" s="806"/>
      <c r="E57" s="806"/>
      <c r="F57" s="806"/>
      <c r="G57" s="806"/>
      <c r="H57" s="807"/>
      <c r="I57" s="186" t="s">
        <v>71</v>
      </c>
      <c r="J57" s="175">
        <v>70</v>
      </c>
      <c r="K57" s="176">
        <f>8683/1.19</f>
        <v>7296.6386554621849</v>
      </c>
      <c r="L57" s="177">
        <f t="shared" si="0"/>
        <v>510764.70588235295</v>
      </c>
      <c r="M57" s="171"/>
      <c r="N57" s="178">
        <v>70</v>
      </c>
      <c r="O57" s="179">
        <f t="shared" si="1"/>
        <v>510764.71</v>
      </c>
      <c r="P57" s="171"/>
      <c r="Q57" s="180"/>
      <c r="R57" s="181">
        <f t="shared" si="2"/>
        <v>0</v>
      </c>
      <c r="S57" s="171"/>
      <c r="T57" s="182">
        <f t="shared" ref="T57:T59" si="3">Q57+N57</f>
        <v>70</v>
      </c>
      <c r="U57" s="183">
        <f t="shared" ref="U57:U59" si="4">T57*K57</f>
        <v>510764.70588235295</v>
      </c>
      <c r="V57" s="184"/>
      <c r="W57" s="185"/>
      <c r="X57" s="149"/>
    </row>
    <row r="58" spans="1:26" s="150" customFormat="1" ht="27" customHeight="1">
      <c r="B58" s="188">
        <v>4</v>
      </c>
      <c r="C58" s="805" t="s">
        <v>74</v>
      </c>
      <c r="D58" s="806"/>
      <c r="E58" s="806"/>
      <c r="F58" s="806"/>
      <c r="G58" s="806"/>
      <c r="H58" s="807"/>
      <c r="I58" s="186" t="s">
        <v>71</v>
      </c>
      <c r="J58" s="175">
        <v>70</v>
      </c>
      <c r="K58" s="189">
        <f>2264/1.19</f>
        <v>1902.5210084033615</v>
      </c>
      <c r="L58" s="177">
        <f t="shared" si="0"/>
        <v>133176.4705882353</v>
      </c>
      <c r="M58" s="171"/>
      <c r="N58" s="178"/>
      <c r="O58" s="179">
        <f t="shared" si="1"/>
        <v>0</v>
      </c>
      <c r="P58" s="171"/>
      <c r="Q58" s="180">
        <v>70</v>
      </c>
      <c r="R58" s="181">
        <f t="shared" si="2"/>
        <v>133176.4705882353</v>
      </c>
      <c r="S58" s="171"/>
      <c r="T58" s="182">
        <f t="shared" si="3"/>
        <v>70</v>
      </c>
      <c r="U58" s="183">
        <f t="shared" si="4"/>
        <v>133176.4705882353</v>
      </c>
      <c r="V58" s="184"/>
      <c r="W58" s="185"/>
      <c r="X58" s="149"/>
    </row>
    <row r="59" spans="1:26" s="150" customFormat="1" ht="27" customHeight="1">
      <c r="B59" s="188">
        <v>5</v>
      </c>
      <c r="C59" s="805" t="s">
        <v>75</v>
      </c>
      <c r="D59" s="806"/>
      <c r="E59" s="806"/>
      <c r="F59" s="806"/>
      <c r="G59" s="806"/>
      <c r="H59" s="807"/>
      <c r="I59" s="174" t="s">
        <v>71</v>
      </c>
      <c r="J59" s="175">
        <v>70</v>
      </c>
      <c r="K59" s="189">
        <f>3967/1.19</f>
        <v>3333.6134453781515</v>
      </c>
      <c r="L59" s="177">
        <f t="shared" si="0"/>
        <v>233352.9411764706</v>
      </c>
      <c r="M59" s="171"/>
      <c r="N59" s="178"/>
      <c r="O59" s="179">
        <f t="shared" si="1"/>
        <v>0</v>
      </c>
      <c r="P59" s="171"/>
      <c r="Q59" s="180"/>
      <c r="R59" s="181"/>
      <c r="S59" s="171"/>
      <c r="T59" s="182">
        <f t="shared" si="3"/>
        <v>0</v>
      </c>
      <c r="U59" s="183">
        <f t="shared" si="4"/>
        <v>0</v>
      </c>
      <c r="V59" s="184"/>
      <c r="W59" s="185"/>
      <c r="X59" s="149"/>
    </row>
    <row r="60" spans="1:26" s="190" customFormat="1" ht="35.25" customHeight="1" thickBot="1">
      <c r="B60" s="191"/>
      <c r="C60" s="808" t="s">
        <v>76</v>
      </c>
      <c r="D60" s="809"/>
      <c r="E60" s="809"/>
      <c r="F60" s="809"/>
      <c r="G60" s="809"/>
      <c r="H60" s="810"/>
      <c r="I60" s="192"/>
      <c r="J60" s="193"/>
      <c r="K60" s="194"/>
      <c r="L60" s="195">
        <f>ROUND(SUM(L55:L59),0)</f>
        <v>3672471</v>
      </c>
      <c r="M60" s="196"/>
      <c r="N60" s="178"/>
      <c r="O60" s="197">
        <f>SUM(O55:O59)</f>
        <v>510764.71</v>
      </c>
      <c r="P60" s="196"/>
      <c r="Q60" s="180"/>
      <c r="R60" s="198">
        <f>SUM(R55:R59)</f>
        <v>2928352.9411764704</v>
      </c>
      <c r="S60" s="196"/>
      <c r="T60" s="199">
        <f>+N60+Q60</f>
        <v>0</v>
      </c>
      <c r="U60" s="200">
        <f>SUM(U55:U59)</f>
        <v>3439117.6470588231</v>
      </c>
      <c r="V60" s="811"/>
      <c r="W60" s="812"/>
      <c r="X60" s="201"/>
      <c r="Y60" s="190">
        <f>+R60+O60</f>
        <v>3439117.6511764703</v>
      </c>
      <c r="Z60" s="190">
        <f>+U60-Y60</f>
        <v>-4.117647185921669E-3</v>
      </c>
    </row>
    <row r="61" spans="1:26" s="150" customFormat="1" ht="13.15" customHeight="1">
      <c r="B61" s="202"/>
      <c r="C61" s="203"/>
      <c r="D61" s="203"/>
      <c r="E61" s="203"/>
      <c r="F61" s="203"/>
      <c r="G61" s="203"/>
      <c r="H61" s="203"/>
      <c r="I61" s="204"/>
      <c r="J61" s="205"/>
      <c r="K61" s="206"/>
      <c r="L61" s="171"/>
      <c r="M61" s="171"/>
      <c r="N61" s="207"/>
      <c r="O61" s="208"/>
      <c r="P61" s="171"/>
      <c r="Q61" s="209"/>
      <c r="R61" s="210"/>
      <c r="S61" s="171"/>
      <c r="T61" s="171"/>
      <c r="U61" s="211"/>
      <c r="V61" s="212"/>
      <c r="W61" s="212"/>
      <c r="X61" s="149"/>
    </row>
    <row r="62" spans="1:26" s="150" customFormat="1" ht="25.5" customHeight="1">
      <c r="B62" s="164"/>
      <c r="C62" s="813" t="s">
        <v>77</v>
      </c>
      <c r="D62" s="814"/>
      <c r="E62" s="814"/>
      <c r="F62" s="814"/>
      <c r="G62" s="814"/>
      <c r="H62" s="815"/>
      <c r="I62" s="165"/>
      <c r="J62" s="166"/>
      <c r="K62" s="213"/>
      <c r="L62" s="214"/>
      <c r="M62" s="171"/>
      <c r="N62" s="207"/>
      <c r="O62" s="208"/>
      <c r="P62" s="171"/>
      <c r="Q62" s="209"/>
      <c r="R62" s="210"/>
      <c r="S62" s="171"/>
      <c r="T62" s="171"/>
      <c r="U62" s="211"/>
      <c r="V62" s="212"/>
      <c r="W62" s="212"/>
      <c r="X62" s="149"/>
    </row>
    <row r="63" spans="1:26" s="150" customFormat="1" ht="18" customHeight="1">
      <c r="B63" s="215">
        <v>1</v>
      </c>
      <c r="C63" s="816" t="s">
        <v>78</v>
      </c>
      <c r="D63" s="817"/>
      <c r="E63" s="817"/>
      <c r="F63" s="817"/>
      <c r="G63" s="817"/>
      <c r="H63" s="818"/>
      <c r="I63" s="216" t="s">
        <v>79</v>
      </c>
      <c r="J63" s="216" t="s">
        <v>80</v>
      </c>
      <c r="K63" s="217" t="s">
        <v>81</v>
      </c>
      <c r="L63" s="218" t="s">
        <v>82</v>
      </c>
      <c r="M63" s="160"/>
      <c r="N63" s="219" t="s">
        <v>66</v>
      </c>
      <c r="O63" s="220" t="s">
        <v>67</v>
      </c>
      <c r="P63" s="160"/>
      <c r="Q63" s="172" t="s">
        <v>66</v>
      </c>
      <c r="R63" s="221" t="s">
        <v>67</v>
      </c>
      <c r="S63" s="148"/>
      <c r="T63" s="222" t="s">
        <v>66</v>
      </c>
      <c r="U63" s="223" t="s">
        <v>68</v>
      </c>
      <c r="V63" s="224" t="s">
        <v>69</v>
      </c>
      <c r="W63" s="222"/>
      <c r="X63" s="149"/>
    </row>
    <row r="64" spans="1:26" s="150" customFormat="1" ht="19.5" customHeight="1">
      <c r="B64" s="225" t="s">
        <v>83</v>
      </c>
      <c r="C64" s="819" t="s">
        <v>84</v>
      </c>
      <c r="D64" s="820"/>
      <c r="E64" s="820" t="s">
        <v>85</v>
      </c>
      <c r="F64" s="820"/>
      <c r="G64" s="820" t="s">
        <v>85</v>
      </c>
      <c r="H64" s="821"/>
      <c r="I64" s="225" t="s">
        <v>71</v>
      </c>
      <c r="J64" s="226">
        <v>70</v>
      </c>
      <c r="K64" s="227">
        <v>10102</v>
      </c>
      <c r="L64" s="228">
        <f t="shared" ref="L64:L112" si="5">K64*J64</f>
        <v>707140</v>
      </c>
      <c r="M64" s="160"/>
      <c r="N64" s="229"/>
      <c r="O64" s="179"/>
      <c r="P64" s="230"/>
      <c r="Q64" s="231">
        <v>70</v>
      </c>
      <c r="R64" s="232">
        <f>Q64*K64</f>
        <v>707140</v>
      </c>
      <c r="S64" s="233"/>
      <c r="T64" s="234">
        <f>+N64+Q64</f>
        <v>70</v>
      </c>
      <c r="U64" s="235">
        <f>+ROUND((ROUNDDOWN(T64,2))*K64,2)</f>
        <v>707140</v>
      </c>
      <c r="V64" s="822"/>
      <c r="W64" s="823"/>
      <c r="X64" s="149"/>
    </row>
    <row r="65" spans="2:27" s="150" customFormat="1" ht="19.5" customHeight="1">
      <c r="B65" s="236" t="s">
        <v>86</v>
      </c>
      <c r="C65" s="819" t="s">
        <v>87</v>
      </c>
      <c r="D65" s="820"/>
      <c r="E65" s="820" t="s">
        <v>87</v>
      </c>
      <c r="F65" s="820"/>
      <c r="G65" s="820" t="s">
        <v>87</v>
      </c>
      <c r="H65" s="821"/>
      <c r="I65" s="237"/>
      <c r="J65" s="238">
        <v>70</v>
      </c>
      <c r="K65" s="239">
        <v>2816</v>
      </c>
      <c r="L65" s="228">
        <f t="shared" si="5"/>
        <v>197120</v>
      </c>
      <c r="M65" s="240"/>
      <c r="N65" s="229"/>
      <c r="O65" s="179"/>
      <c r="P65" s="241"/>
      <c r="Q65" s="231">
        <v>70</v>
      </c>
      <c r="R65" s="232">
        <f t="shared" ref="R65:R112" si="6">Q65*K65</f>
        <v>197120</v>
      </c>
      <c r="S65" s="242"/>
      <c r="T65" s="234">
        <f t="shared" ref="T65:T113" si="7">+N65+Q65</f>
        <v>70</v>
      </c>
      <c r="U65" s="235">
        <f t="shared" ref="U65:U112" si="8">+ROUND((ROUNDDOWN(T65,2))*K65,2)</f>
        <v>197120</v>
      </c>
      <c r="V65" s="822"/>
      <c r="W65" s="823"/>
      <c r="X65" s="149"/>
    </row>
    <row r="66" spans="2:27" s="150" customFormat="1" ht="19.5" customHeight="1">
      <c r="B66" s="225" t="s">
        <v>88</v>
      </c>
      <c r="C66" s="835" t="s">
        <v>89</v>
      </c>
      <c r="D66" s="836"/>
      <c r="E66" s="836" t="s">
        <v>90</v>
      </c>
      <c r="F66" s="836"/>
      <c r="G66" s="836" t="s">
        <v>90</v>
      </c>
      <c r="H66" s="837"/>
      <c r="I66" s="225" t="s">
        <v>91</v>
      </c>
      <c r="J66" s="226">
        <v>11.107499999999998</v>
      </c>
      <c r="K66" s="227">
        <v>48450</v>
      </c>
      <c r="L66" s="228">
        <f t="shared" si="5"/>
        <v>538158.37499999988</v>
      </c>
      <c r="M66" s="160"/>
      <c r="N66" s="229"/>
      <c r="O66" s="179"/>
      <c r="P66" s="230"/>
      <c r="Q66" s="231">
        <v>11.11</v>
      </c>
      <c r="R66" s="232">
        <f t="shared" si="6"/>
        <v>538279.5</v>
      </c>
      <c r="S66" s="233"/>
      <c r="T66" s="234">
        <f t="shared" si="7"/>
        <v>11.11</v>
      </c>
      <c r="U66" s="235">
        <f t="shared" si="8"/>
        <v>538279.5</v>
      </c>
      <c r="V66" s="822"/>
      <c r="W66" s="823"/>
      <c r="X66" s="149"/>
      <c r="AA66" s="243"/>
    </row>
    <row r="67" spans="2:27" s="150" customFormat="1" ht="33.75" customHeight="1">
      <c r="B67" s="225" t="s">
        <v>92</v>
      </c>
      <c r="C67" s="835" t="s">
        <v>93</v>
      </c>
      <c r="D67" s="836"/>
      <c r="E67" s="836" t="s">
        <v>94</v>
      </c>
      <c r="F67" s="836"/>
      <c r="G67" s="836" t="s">
        <v>94</v>
      </c>
      <c r="H67" s="837"/>
      <c r="I67" s="225" t="s">
        <v>95</v>
      </c>
      <c r="J67" s="244">
        <v>11.867178135</v>
      </c>
      <c r="K67" s="211">
        <v>11600</v>
      </c>
      <c r="L67" s="228">
        <f t="shared" si="5"/>
        <v>137659.266366</v>
      </c>
      <c r="M67" s="171"/>
      <c r="N67" s="229"/>
      <c r="O67" s="179"/>
      <c r="P67" s="245"/>
      <c r="Q67" s="231">
        <v>11.87</v>
      </c>
      <c r="R67" s="232">
        <f t="shared" si="6"/>
        <v>137692</v>
      </c>
      <c r="S67" s="245"/>
      <c r="T67" s="234">
        <f t="shared" si="7"/>
        <v>11.87</v>
      </c>
      <c r="U67" s="235">
        <f t="shared" si="8"/>
        <v>137692</v>
      </c>
      <c r="V67" s="822"/>
      <c r="W67" s="823"/>
      <c r="X67" s="149"/>
      <c r="AA67" s="243"/>
    </row>
    <row r="68" spans="2:27" s="190" customFormat="1" ht="21.75" customHeight="1">
      <c r="B68" s="246">
        <v>2</v>
      </c>
      <c r="C68" s="826" t="s">
        <v>96</v>
      </c>
      <c r="D68" s="827"/>
      <c r="E68" s="827"/>
      <c r="F68" s="827"/>
      <c r="G68" s="827"/>
      <c r="H68" s="828"/>
      <c r="I68" s="247"/>
      <c r="J68" s="247">
        <v>0</v>
      </c>
      <c r="K68" s="248"/>
      <c r="L68" s="228">
        <f t="shared" si="5"/>
        <v>0</v>
      </c>
      <c r="M68" s="196"/>
      <c r="N68" s="229"/>
      <c r="O68" s="179"/>
      <c r="P68" s="249"/>
      <c r="Q68" s="231">
        <v>0</v>
      </c>
      <c r="R68" s="232">
        <f t="shared" si="6"/>
        <v>0</v>
      </c>
      <c r="S68" s="250"/>
      <c r="T68" s="234">
        <f t="shared" si="7"/>
        <v>0</v>
      </c>
      <c r="U68" s="235">
        <f t="shared" si="8"/>
        <v>0</v>
      </c>
      <c r="V68" s="822"/>
      <c r="W68" s="823"/>
      <c r="X68" s="201"/>
      <c r="Y68" s="190">
        <f t="shared" ref="Y68:Y77" si="9">+R68+O68</f>
        <v>0</v>
      </c>
      <c r="Z68" s="190">
        <f t="shared" ref="Z68:Z77" si="10">+U68-Y68</f>
        <v>0</v>
      </c>
      <c r="AA68" s="243"/>
    </row>
    <row r="69" spans="2:27" s="150" customFormat="1" ht="21" customHeight="1">
      <c r="B69" s="251" t="s">
        <v>97</v>
      </c>
      <c r="C69" s="829" t="str">
        <f>'[12]PRESUPUESTO AJUST'!$C$15</f>
        <v>ACERO DE REFUERZO 60000 PSI</v>
      </c>
      <c r="D69" s="830"/>
      <c r="E69" s="830" t="s">
        <v>98</v>
      </c>
      <c r="F69" s="830"/>
      <c r="G69" s="830" t="s">
        <v>98</v>
      </c>
      <c r="H69" s="831"/>
      <c r="I69" s="252" t="s">
        <v>99</v>
      </c>
      <c r="J69" s="253">
        <v>863.90808000000004</v>
      </c>
      <c r="K69" s="253">
        <v>6457</v>
      </c>
      <c r="L69" s="254">
        <f t="shared" si="5"/>
        <v>5578254.4725600006</v>
      </c>
      <c r="M69" s="240"/>
      <c r="N69" s="229">
        <v>750</v>
      </c>
      <c r="O69" s="179">
        <f t="shared" ref="O69:O112" si="11">ROUND(N69*K69,2)</f>
        <v>4842750</v>
      </c>
      <c r="P69" s="241"/>
      <c r="Q69" s="231"/>
      <c r="R69" s="232">
        <f t="shared" si="6"/>
        <v>0</v>
      </c>
      <c r="S69" s="242"/>
      <c r="T69" s="234">
        <f t="shared" si="7"/>
        <v>750</v>
      </c>
      <c r="U69" s="235">
        <f t="shared" si="8"/>
        <v>4842750</v>
      </c>
      <c r="V69" s="822"/>
      <c r="W69" s="823"/>
      <c r="X69" s="149"/>
      <c r="Y69" s="150">
        <f t="shared" si="9"/>
        <v>4842750</v>
      </c>
      <c r="Z69" s="150">
        <f t="shared" si="10"/>
        <v>0</v>
      </c>
      <c r="AA69" s="243"/>
    </row>
    <row r="70" spans="2:27" s="150" customFormat="1" ht="21" customHeight="1">
      <c r="B70" s="251" t="str">
        <f>'[12]PRESUPUESTO AJUST'!$B$16</f>
        <v>2.3.3</v>
      </c>
      <c r="C70" s="255" t="str">
        <f>'[12]PRESUPUESTO AJUST'!$C$16</f>
        <v>ACERO DE REFUERZO 37000 PSI</v>
      </c>
      <c r="D70" s="256"/>
      <c r="E70" s="256"/>
      <c r="F70" s="256"/>
      <c r="G70" s="256"/>
      <c r="H70" s="257"/>
      <c r="I70" s="252" t="s">
        <v>99</v>
      </c>
      <c r="J70" s="258">
        <v>1142.1485600000001</v>
      </c>
      <c r="K70" s="258">
        <v>6457</v>
      </c>
      <c r="L70" s="254">
        <f t="shared" si="5"/>
        <v>7374853.2519200006</v>
      </c>
      <c r="M70" s="240"/>
      <c r="N70" s="229">
        <v>1000</v>
      </c>
      <c r="O70" s="179">
        <f t="shared" si="11"/>
        <v>6457000</v>
      </c>
      <c r="P70" s="241"/>
      <c r="Q70" s="231"/>
      <c r="R70" s="232">
        <f>Q70*K70</f>
        <v>0</v>
      </c>
      <c r="S70" s="242"/>
      <c r="T70" s="234">
        <f t="shared" si="7"/>
        <v>1000</v>
      </c>
      <c r="U70" s="235">
        <f t="shared" si="8"/>
        <v>6457000</v>
      </c>
      <c r="V70" s="822"/>
      <c r="W70" s="823"/>
      <c r="X70" s="149"/>
      <c r="AA70" s="243"/>
    </row>
    <row r="71" spans="2:27" s="190" customFormat="1" ht="26.25" customHeight="1">
      <c r="B71" s="259" t="s">
        <v>100</v>
      </c>
      <c r="C71" s="832" t="s">
        <v>101</v>
      </c>
      <c r="D71" s="833"/>
      <c r="E71" s="833" t="s">
        <v>101</v>
      </c>
      <c r="F71" s="833"/>
      <c r="G71" s="833" t="s">
        <v>101</v>
      </c>
      <c r="H71" s="834"/>
      <c r="I71" s="260" t="s">
        <v>91</v>
      </c>
      <c r="J71" s="226">
        <v>2.4000000000000004</v>
      </c>
      <c r="K71" s="226">
        <v>778702</v>
      </c>
      <c r="L71" s="228">
        <f t="shared" si="5"/>
        <v>1868884.8000000003</v>
      </c>
      <c r="M71" s="196"/>
      <c r="N71" s="261"/>
      <c r="O71" s="179"/>
      <c r="P71" s="249"/>
      <c r="Q71" s="231">
        <v>2.4</v>
      </c>
      <c r="R71" s="232">
        <f>Q71*K71</f>
        <v>1868884.8</v>
      </c>
      <c r="S71" s="250"/>
      <c r="T71" s="234">
        <f t="shared" si="7"/>
        <v>2.4</v>
      </c>
      <c r="U71" s="235">
        <f t="shared" si="8"/>
        <v>1868884.8</v>
      </c>
      <c r="V71" s="822"/>
      <c r="W71" s="823"/>
      <c r="X71" s="201"/>
      <c r="Y71" s="190">
        <f t="shared" si="9"/>
        <v>1868884.8</v>
      </c>
      <c r="Z71" s="190">
        <f t="shared" si="10"/>
        <v>0</v>
      </c>
      <c r="AA71" s="243"/>
    </row>
    <row r="72" spans="2:27" s="150" customFormat="1" ht="24" customHeight="1">
      <c r="B72" s="236" t="s">
        <v>102</v>
      </c>
      <c r="C72" s="844" t="s">
        <v>103</v>
      </c>
      <c r="D72" s="845"/>
      <c r="E72" s="845"/>
      <c r="F72" s="845"/>
      <c r="G72" s="845"/>
      <c r="H72" s="846"/>
      <c r="I72" s="252" t="s">
        <v>91</v>
      </c>
      <c r="J72" s="252">
        <v>2.4000000000000004</v>
      </c>
      <c r="K72" s="253">
        <v>461018</v>
      </c>
      <c r="L72" s="228">
        <f t="shared" si="5"/>
        <v>1106443.2000000002</v>
      </c>
      <c r="M72" s="240"/>
      <c r="N72" s="229">
        <v>0.5</v>
      </c>
      <c r="O72" s="179">
        <f t="shared" si="11"/>
        <v>230509</v>
      </c>
      <c r="P72" s="241"/>
      <c r="Q72" s="231">
        <v>1.9</v>
      </c>
      <c r="R72" s="232">
        <f>Q72*K72</f>
        <v>875934.2</v>
      </c>
      <c r="S72" s="242"/>
      <c r="T72" s="234">
        <f t="shared" si="7"/>
        <v>2.4</v>
      </c>
      <c r="U72" s="235">
        <f t="shared" si="8"/>
        <v>1106443.2</v>
      </c>
      <c r="V72" s="262"/>
      <c r="W72" s="262"/>
      <c r="X72" s="149"/>
      <c r="Y72" s="150">
        <f t="shared" si="9"/>
        <v>1106443.2</v>
      </c>
      <c r="Z72" s="150">
        <f>+U73-Y72</f>
        <v>-894374.91999999993</v>
      </c>
      <c r="AA72" s="243"/>
    </row>
    <row r="73" spans="2:27" s="150" customFormat="1" ht="21.75" customHeight="1">
      <c r="B73" s="263" t="s">
        <v>104</v>
      </c>
      <c r="C73" s="847" t="s">
        <v>105</v>
      </c>
      <c r="D73" s="848"/>
      <c r="E73" s="848"/>
      <c r="F73" s="848"/>
      <c r="G73" s="848"/>
      <c r="H73" s="849"/>
      <c r="I73" s="252" t="s">
        <v>95</v>
      </c>
      <c r="J73" s="252">
        <v>0.45599999999999996</v>
      </c>
      <c r="K73" s="253">
        <v>513005</v>
      </c>
      <c r="L73" s="228">
        <f t="shared" si="5"/>
        <v>233930.27999999997</v>
      </c>
      <c r="M73" s="240"/>
      <c r="N73" s="229"/>
      <c r="O73" s="179"/>
      <c r="P73" s="241"/>
      <c r="Q73" s="231">
        <v>0.46</v>
      </c>
      <c r="R73" s="232">
        <f t="shared" ref="R73:R77" si="12">Q73*K73</f>
        <v>235982.30000000002</v>
      </c>
      <c r="S73" s="242"/>
      <c r="T73" s="234">
        <f t="shared" si="7"/>
        <v>0.46</v>
      </c>
      <c r="U73" s="235">
        <f>+ROUND((ROUNDDOWN(T73,2))*K72,2)</f>
        <v>212068.28</v>
      </c>
      <c r="V73" s="822"/>
      <c r="W73" s="823"/>
      <c r="X73" s="149"/>
      <c r="AA73" s="243"/>
    </row>
    <row r="74" spans="2:27" s="190" customFormat="1" ht="19.5" customHeight="1">
      <c r="B74" s="259" t="s">
        <v>106</v>
      </c>
      <c r="C74" s="850" t="s">
        <v>107</v>
      </c>
      <c r="D74" s="851"/>
      <c r="E74" s="851" t="s">
        <v>107</v>
      </c>
      <c r="F74" s="851"/>
      <c r="G74" s="851" t="s">
        <v>107</v>
      </c>
      <c r="H74" s="852"/>
      <c r="I74" s="260" t="s">
        <v>91</v>
      </c>
      <c r="J74" s="264">
        <v>3.2880000000000003</v>
      </c>
      <c r="K74" s="265">
        <v>804034</v>
      </c>
      <c r="L74" s="228">
        <f t="shared" si="5"/>
        <v>2643663.7920000004</v>
      </c>
      <c r="M74" s="196"/>
      <c r="N74" s="229"/>
      <c r="O74" s="179"/>
      <c r="P74" s="249"/>
      <c r="Q74" s="231">
        <v>3.29</v>
      </c>
      <c r="R74" s="232">
        <f t="shared" si="12"/>
        <v>2645271.86</v>
      </c>
      <c r="S74" s="250"/>
      <c r="T74" s="234">
        <f t="shared" si="7"/>
        <v>3.29</v>
      </c>
      <c r="U74" s="235">
        <f t="shared" si="8"/>
        <v>2645271.86</v>
      </c>
      <c r="V74" s="822"/>
      <c r="W74" s="823"/>
      <c r="X74" s="201"/>
      <c r="Y74" s="190">
        <f t="shared" si="9"/>
        <v>2645271.86</v>
      </c>
      <c r="Z74" s="190">
        <f t="shared" si="10"/>
        <v>0</v>
      </c>
      <c r="AA74" s="243"/>
    </row>
    <row r="75" spans="2:27" s="190" customFormat="1" ht="19.5" customHeight="1">
      <c r="B75" s="259" t="s">
        <v>108</v>
      </c>
      <c r="C75" s="850" t="s">
        <v>109</v>
      </c>
      <c r="D75" s="851"/>
      <c r="E75" s="851" t="s">
        <v>109</v>
      </c>
      <c r="F75" s="851"/>
      <c r="G75" s="851" t="s">
        <v>109</v>
      </c>
      <c r="H75" s="852"/>
      <c r="I75" s="260" t="s">
        <v>91</v>
      </c>
      <c r="J75" s="266">
        <v>2.5950000000000002</v>
      </c>
      <c r="K75" s="226">
        <v>875931</v>
      </c>
      <c r="L75" s="228">
        <f t="shared" si="5"/>
        <v>2273040.9450000003</v>
      </c>
      <c r="M75" s="196"/>
      <c r="N75" s="229">
        <v>0.55000000407726768</v>
      </c>
      <c r="O75" s="179">
        <f t="shared" si="11"/>
        <v>481762.05</v>
      </c>
      <c r="P75" s="249"/>
      <c r="Q75" s="231">
        <v>2.04</v>
      </c>
      <c r="R75" s="232">
        <f t="shared" si="12"/>
        <v>1786899.24</v>
      </c>
      <c r="S75" s="250"/>
      <c r="T75" s="234">
        <f t="shared" si="7"/>
        <v>2.5900000040772677</v>
      </c>
      <c r="U75" s="235">
        <f t="shared" si="8"/>
        <v>2268661.29</v>
      </c>
      <c r="V75" s="822"/>
      <c r="W75" s="823"/>
      <c r="X75" s="201"/>
      <c r="Y75" s="190">
        <f t="shared" si="9"/>
        <v>2268661.29</v>
      </c>
      <c r="Z75" s="190">
        <f t="shared" si="10"/>
        <v>0</v>
      </c>
      <c r="AA75" s="243"/>
    </row>
    <row r="76" spans="2:27" s="190" customFormat="1" ht="19.5" customHeight="1">
      <c r="B76" s="259" t="s">
        <v>110</v>
      </c>
      <c r="C76" s="838" t="s">
        <v>111</v>
      </c>
      <c r="D76" s="839"/>
      <c r="E76" s="839" t="s">
        <v>111</v>
      </c>
      <c r="F76" s="839"/>
      <c r="G76" s="839" t="s">
        <v>111</v>
      </c>
      <c r="H76" s="840"/>
      <c r="I76" s="260" t="s">
        <v>91</v>
      </c>
      <c r="J76" s="226">
        <v>3.4222799999999993</v>
      </c>
      <c r="K76" s="226">
        <v>884610</v>
      </c>
      <c r="L76" s="228">
        <f t="shared" si="5"/>
        <v>3027383.1107999994</v>
      </c>
      <c r="M76" s="196"/>
      <c r="N76" s="229"/>
      <c r="O76" s="179"/>
      <c r="P76" s="249"/>
      <c r="Q76" s="231">
        <v>3.42</v>
      </c>
      <c r="R76" s="232">
        <f t="shared" si="12"/>
        <v>3025366.1999999997</v>
      </c>
      <c r="S76" s="250"/>
      <c r="T76" s="234">
        <f t="shared" si="7"/>
        <v>3.42</v>
      </c>
      <c r="U76" s="235">
        <f t="shared" si="8"/>
        <v>3025366.2</v>
      </c>
      <c r="V76" s="822"/>
      <c r="W76" s="823"/>
      <c r="X76" s="201"/>
      <c r="Y76" s="190">
        <f t="shared" si="9"/>
        <v>3025366.1999999997</v>
      </c>
      <c r="Z76" s="190">
        <f t="shared" si="10"/>
        <v>0</v>
      </c>
      <c r="AA76" s="243"/>
    </row>
    <row r="77" spans="2:27" s="190" customFormat="1" ht="29.25" customHeight="1">
      <c r="B77" s="259" t="s">
        <v>112</v>
      </c>
      <c r="C77" s="838" t="s">
        <v>113</v>
      </c>
      <c r="D77" s="839"/>
      <c r="E77" s="839" t="s">
        <v>113</v>
      </c>
      <c r="F77" s="839"/>
      <c r="G77" s="839" t="s">
        <v>113</v>
      </c>
      <c r="H77" s="840"/>
      <c r="I77" s="260" t="s">
        <v>91</v>
      </c>
      <c r="J77" s="264">
        <v>15.3</v>
      </c>
      <c r="K77" s="265">
        <v>42960</v>
      </c>
      <c r="L77" s="228">
        <f t="shared" si="5"/>
        <v>657288</v>
      </c>
      <c r="M77" s="196"/>
      <c r="N77" s="229"/>
      <c r="O77" s="179"/>
      <c r="P77" s="249"/>
      <c r="Q77" s="231">
        <v>15.3</v>
      </c>
      <c r="R77" s="232">
        <f t="shared" si="12"/>
        <v>657288</v>
      </c>
      <c r="S77" s="250"/>
      <c r="T77" s="234">
        <f t="shared" si="7"/>
        <v>15.3</v>
      </c>
      <c r="U77" s="235">
        <f t="shared" si="8"/>
        <v>657288</v>
      </c>
      <c r="V77" s="822"/>
      <c r="W77" s="823"/>
      <c r="X77" s="201"/>
      <c r="Y77" s="190">
        <f t="shared" si="9"/>
        <v>657288</v>
      </c>
      <c r="Z77" s="190">
        <f t="shared" si="10"/>
        <v>0</v>
      </c>
      <c r="AA77" s="243"/>
    </row>
    <row r="78" spans="2:27" s="190" customFormat="1" ht="30" customHeight="1">
      <c r="B78" s="246">
        <v>3</v>
      </c>
      <c r="C78" s="841" t="s">
        <v>114</v>
      </c>
      <c r="D78" s="842"/>
      <c r="E78" s="842"/>
      <c r="F78" s="842"/>
      <c r="G78" s="842"/>
      <c r="H78" s="843"/>
      <c r="I78" s="260"/>
      <c r="J78" s="264"/>
      <c r="K78" s="264"/>
      <c r="L78" s="228">
        <f t="shared" si="5"/>
        <v>0</v>
      </c>
      <c r="M78" s="196"/>
      <c r="N78" s="229"/>
      <c r="O78" s="179"/>
      <c r="P78" s="249"/>
      <c r="Q78" s="231"/>
      <c r="R78" s="235">
        <f t="shared" si="6"/>
        <v>0</v>
      </c>
      <c r="S78" s="250"/>
      <c r="T78" s="234">
        <f t="shared" si="7"/>
        <v>0</v>
      </c>
      <c r="U78" s="235">
        <f t="shared" si="8"/>
        <v>0</v>
      </c>
      <c r="V78" s="822"/>
      <c r="W78" s="823"/>
      <c r="X78" s="201"/>
      <c r="AA78" s="150"/>
    </row>
    <row r="79" spans="2:27" s="190" customFormat="1" ht="31.5" customHeight="1">
      <c r="B79" s="259" t="s">
        <v>115</v>
      </c>
      <c r="C79" s="850" t="s">
        <v>116</v>
      </c>
      <c r="D79" s="851"/>
      <c r="E79" s="851"/>
      <c r="F79" s="851"/>
      <c r="G79" s="851"/>
      <c r="H79" s="852"/>
      <c r="I79" s="260" t="s">
        <v>71</v>
      </c>
      <c r="J79" s="264">
        <v>52.832599999999999</v>
      </c>
      <c r="K79" s="264">
        <v>75778</v>
      </c>
      <c r="L79" s="228">
        <f>J79*K79</f>
        <v>4003548.7628000001</v>
      </c>
      <c r="M79" s="196"/>
      <c r="N79" s="267">
        <v>52.83</v>
      </c>
      <c r="O79" s="179">
        <f t="shared" si="11"/>
        <v>4003351.74</v>
      </c>
      <c r="P79" s="249"/>
      <c r="Q79" s="231"/>
      <c r="R79" s="235">
        <f t="shared" si="6"/>
        <v>0</v>
      </c>
      <c r="S79" s="250"/>
      <c r="T79" s="234">
        <f t="shared" si="7"/>
        <v>52.83</v>
      </c>
      <c r="U79" s="235">
        <f t="shared" si="8"/>
        <v>4003351.74</v>
      </c>
      <c r="V79" s="822"/>
      <c r="W79" s="823"/>
      <c r="X79" s="201"/>
      <c r="AA79" s="150"/>
    </row>
    <row r="80" spans="2:27" s="190" customFormat="1" ht="31.5" customHeight="1">
      <c r="B80" s="259" t="s">
        <v>117</v>
      </c>
      <c r="C80" s="850" t="s">
        <v>118</v>
      </c>
      <c r="D80" s="851"/>
      <c r="E80" s="851"/>
      <c r="F80" s="851"/>
      <c r="G80" s="851"/>
      <c r="H80" s="852"/>
      <c r="I80" s="260" t="s">
        <v>71</v>
      </c>
      <c r="J80" s="264">
        <v>105.6652</v>
      </c>
      <c r="K80" s="264">
        <v>18515</v>
      </c>
      <c r="L80" s="228">
        <f t="shared" ref="L80:L82" si="13">J80*K80</f>
        <v>1956391.1780000001</v>
      </c>
      <c r="M80" s="196"/>
      <c r="N80" s="229">
        <v>105.65999999974443</v>
      </c>
      <c r="O80" s="179">
        <f t="shared" si="11"/>
        <v>1956294.9</v>
      </c>
      <c r="P80" s="249"/>
      <c r="Q80" s="231"/>
      <c r="R80" s="235">
        <f t="shared" si="6"/>
        <v>0</v>
      </c>
      <c r="S80" s="250"/>
      <c r="T80" s="234">
        <f t="shared" si="7"/>
        <v>105.65999999974443</v>
      </c>
      <c r="U80" s="235">
        <f t="shared" si="8"/>
        <v>1956109.75</v>
      </c>
      <c r="V80" s="822"/>
      <c r="W80" s="823"/>
      <c r="X80" s="201"/>
      <c r="AA80" s="150"/>
    </row>
    <row r="81" spans="2:27" s="190" customFormat="1" ht="31.5" customHeight="1">
      <c r="B81" s="259" t="s">
        <v>119</v>
      </c>
      <c r="C81" s="850" t="s">
        <v>120</v>
      </c>
      <c r="D81" s="851"/>
      <c r="E81" s="851"/>
      <c r="F81" s="851"/>
      <c r="G81" s="851"/>
      <c r="H81" s="852"/>
      <c r="I81" s="260" t="s">
        <v>71</v>
      </c>
      <c r="J81" s="264">
        <v>105.6652</v>
      </c>
      <c r="K81" s="264">
        <v>6608</v>
      </c>
      <c r="L81" s="228">
        <f t="shared" si="13"/>
        <v>698235.64159999997</v>
      </c>
      <c r="M81" s="196"/>
      <c r="N81" s="229"/>
      <c r="O81" s="179"/>
      <c r="P81" s="249"/>
      <c r="Q81" s="231"/>
      <c r="R81" s="235">
        <f t="shared" si="6"/>
        <v>0</v>
      </c>
      <c r="S81" s="250"/>
      <c r="T81" s="268"/>
      <c r="U81" s="235">
        <f t="shared" si="8"/>
        <v>0</v>
      </c>
      <c r="V81" s="822"/>
      <c r="W81" s="823"/>
      <c r="X81" s="201"/>
      <c r="AA81" s="150"/>
    </row>
    <row r="82" spans="2:27" s="190" customFormat="1" ht="31.5" customHeight="1">
      <c r="B82" s="259" t="s">
        <v>121</v>
      </c>
      <c r="C82" s="850" t="s">
        <v>122</v>
      </c>
      <c r="D82" s="851"/>
      <c r="E82" s="851"/>
      <c r="F82" s="851"/>
      <c r="G82" s="851"/>
      <c r="H82" s="852"/>
      <c r="I82" s="260" t="s">
        <v>71</v>
      </c>
      <c r="J82" s="264">
        <v>105.6652</v>
      </c>
      <c r="K82" s="264">
        <v>15973</v>
      </c>
      <c r="L82" s="228">
        <f t="shared" si="13"/>
        <v>1687790.2396</v>
      </c>
      <c r="M82" s="196"/>
      <c r="N82" s="229"/>
      <c r="O82" s="179"/>
      <c r="P82" s="249"/>
      <c r="Q82" s="231"/>
      <c r="R82" s="235">
        <f t="shared" si="6"/>
        <v>0</v>
      </c>
      <c r="S82" s="250"/>
      <c r="T82" s="268"/>
      <c r="U82" s="235">
        <f t="shared" si="8"/>
        <v>0</v>
      </c>
      <c r="V82" s="822"/>
      <c r="W82" s="823"/>
      <c r="X82" s="201"/>
      <c r="AA82" s="150"/>
    </row>
    <row r="83" spans="2:27" s="190" customFormat="1" ht="31.5" customHeight="1">
      <c r="B83" s="259" t="s">
        <v>123</v>
      </c>
      <c r="C83" s="850" t="s">
        <v>124</v>
      </c>
      <c r="D83" s="851"/>
      <c r="E83" s="851"/>
      <c r="F83" s="851"/>
      <c r="G83" s="851"/>
      <c r="H83" s="852"/>
      <c r="I83" s="260" t="s">
        <v>71</v>
      </c>
      <c r="J83" s="264">
        <v>52.832599999999999</v>
      </c>
      <c r="K83" s="264">
        <v>96575</v>
      </c>
      <c r="L83" s="228"/>
      <c r="M83" s="196"/>
      <c r="N83" s="229"/>
      <c r="O83" s="179"/>
      <c r="P83" s="249"/>
      <c r="Q83" s="231"/>
      <c r="R83" s="235">
        <f t="shared" si="6"/>
        <v>0</v>
      </c>
      <c r="S83" s="250"/>
      <c r="T83" s="268"/>
      <c r="U83" s="235">
        <f t="shared" si="8"/>
        <v>0</v>
      </c>
      <c r="V83" s="822"/>
      <c r="W83" s="823"/>
      <c r="X83" s="201"/>
      <c r="AA83" s="150"/>
    </row>
    <row r="84" spans="2:27" s="190" customFormat="1" ht="27.75" customHeight="1">
      <c r="B84" s="269">
        <v>4</v>
      </c>
      <c r="C84" s="853" t="s">
        <v>125</v>
      </c>
      <c r="D84" s="854"/>
      <c r="E84" s="854"/>
      <c r="F84" s="854"/>
      <c r="G84" s="854"/>
      <c r="H84" s="855"/>
      <c r="I84" s="260"/>
      <c r="J84" s="264"/>
      <c r="K84" s="264"/>
      <c r="L84" s="228">
        <f t="shared" si="5"/>
        <v>0</v>
      </c>
      <c r="M84" s="196"/>
      <c r="N84" s="229"/>
      <c r="O84" s="179"/>
      <c r="P84" s="249"/>
      <c r="Q84" s="231"/>
      <c r="R84" s="235">
        <f t="shared" si="6"/>
        <v>0</v>
      </c>
      <c r="S84" s="250"/>
      <c r="T84" s="234">
        <f t="shared" si="7"/>
        <v>0</v>
      </c>
      <c r="U84" s="235">
        <f t="shared" si="8"/>
        <v>0</v>
      </c>
      <c r="V84" s="822"/>
      <c r="W84" s="823"/>
      <c r="X84" s="201"/>
      <c r="AA84" s="150"/>
    </row>
    <row r="85" spans="2:27" s="190" customFormat="1" ht="65.25" customHeight="1">
      <c r="B85" s="259" t="s">
        <v>126</v>
      </c>
      <c r="C85" s="850" t="s">
        <v>127</v>
      </c>
      <c r="D85" s="851"/>
      <c r="E85" s="851"/>
      <c r="F85" s="851"/>
      <c r="G85" s="851"/>
      <c r="H85" s="852"/>
      <c r="I85" s="260" t="s">
        <v>99</v>
      </c>
      <c r="J85" s="264">
        <v>846.54400000000021</v>
      </c>
      <c r="K85" s="264">
        <v>11354</v>
      </c>
      <c r="L85" s="228">
        <f t="shared" si="5"/>
        <v>9611660.5760000031</v>
      </c>
      <c r="M85" s="196"/>
      <c r="N85" s="229"/>
      <c r="O85" s="179"/>
      <c r="P85" s="249"/>
      <c r="Q85" s="231"/>
      <c r="R85" s="235">
        <f t="shared" si="6"/>
        <v>0</v>
      </c>
      <c r="S85" s="250"/>
      <c r="T85" s="234">
        <f t="shared" si="7"/>
        <v>0</v>
      </c>
      <c r="U85" s="235">
        <f t="shared" si="8"/>
        <v>0</v>
      </c>
      <c r="V85" s="822"/>
      <c r="W85" s="823"/>
      <c r="X85" s="201"/>
      <c r="AA85" s="150"/>
    </row>
    <row r="86" spans="2:27" s="190" customFormat="1" ht="55.5" customHeight="1">
      <c r="B86" s="259" t="s">
        <v>128</v>
      </c>
      <c r="C86" s="850" t="s">
        <v>129</v>
      </c>
      <c r="D86" s="851"/>
      <c r="E86" s="851"/>
      <c r="F86" s="851"/>
      <c r="G86" s="851"/>
      <c r="H86" s="852"/>
      <c r="I86" s="260" t="s">
        <v>71</v>
      </c>
      <c r="J86" s="264">
        <v>110</v>
      </c>
      <c r="K86" s="264">
        <v>82081</v>
      </c>
      <c r="L86" s="228">
        <f t="shared" si="5"/>
        <v>9028910</v>
      </c>
      <c r="M86" s="196"/>
      <c r="N86" s="229"/>
      <c r="O86" s="179"/>
      <c r="P86" s="249"/>
      <c r="Q86" s="231"/>
      <c r="R86" s="235">
        <f t="shared" si="6"/>
        <v>0</v>
      </c>
      <c r="S86" s="250"/>
      <c r="T86" s="234">
        <f t="shared" si="7"/>
        <v>0</v>
      </c>
      <c r="U86" s="235">
        <f t="shared" si="8"/>
        <v>0</v>
      </c>
      <c r="V86" s="822"/>
      <c r="W86" s="823"/>
      <c r="X86" s="201"/>
      <c r="AA86" s="150"/>
    </row>
    <row r="87" spans="2:27" s="190" customFormat="1" ht="26.25" customHeight="1">
      <c r="B87" s="259" t="s">
        <v>130</v>
      </c>
      <c r="C87" s="850" t="s">
        <v>131</v>
      </c>
      <c r="D87" s="851"/>
      <c r="E87" s="851"/>
      <c r="F87" s="851"/>
      <c r="G87" s="851"/>
      <c r="H87" s="852"/>
      <c r="I87" s="260" t="s">
        <v>132</v>
      </c>
      <c r="J87" s="264">
        <v>135.19999999999999</v>
      </c>
      <c r="K87" s="264">
        <v>8201</v>
      </c>
      <c r="L87" s="228">
        <f t="shared" si="5"/>
        <v>1108775.2</v>
      </c>
      <c r="M87" s="196"/>
      <c r="N87" s="229"/>
      <c r="O87" s="179"/>
      <c r="P87" s="249"/>
      <c r="Q87" s="231"/>
      <c r="R87" s="235">
        <f t="shared" si="6"/>
        <v>0</v>
      </c>
      <c r="S87" s="250"/>
      <c r="T87" s="234">
        <f t="shared" si="7"/>
        <v>0</v>
      </c>
      <c r="U87" s="235">
        <f t="shared" si="8"/>
        <v>0</v>
      </c>
      <c r="V87" s="822"/>
      <c r="W87" s="823"/>
      <c r="X87" s="201"/>
      <c r="AA87" s="150"/>
    </row>
    <row r="88" spans="2:27" s="190" customFormat="1" ht="30" customHeight="1">
      <c r="B88" s="269">
        <v>5</v>
      </c>
      <c r="C88" s="853" t="s">
        <v>133</v>
      </c>
      <c r="D88" s="854"/>
      <c r="E88" s="854"/>
      <c r="F88" s="854"/>
      <c r="G88" s="854"/>
      <c r="H88" s="855"/>
      <c r="I88" s="260"/>
      <c r="J88" s="264"/>
      <c r="K88" s="264"/>
      <c r="L88" s="228">
        <f t="shared" si="5"/>
        <v>0</v>
      </c>
      <c r="M88" s="196"/>
      <c r="N88" s="229"/>
      <c r="O88" s="179"/>
      <c r="P88" s="249"/>
      <c r="Q88" s="231"/>
      <c r="R88" s="235">
        <f t="shared" si="6"/>
        <v>0</v>
      </c>
      <c r="S88" s="250"/>
      <c r="T88" s="234">
        <f t="shared" si="7"/>
        <v>0</v>
      </c>
      <c r="U88" s="235">
        <f t="shared" si="8"/>
        <v>0</v>
      </c>
      <c r="V88" s="822"/>
      <c r="W88" s="823"/>
      <c r="X88" s="201"/>
      <c r="AA88" s="150"/>
    </row>
    <row r="89" spans="2:27" s="190" customFormat="1" ht="42.75" customHeight="1">
      <c r="B89" s="259" t="s">
        <v>134</v>
      </c>
      <c r="C89" s="850" t="s">
        <v>135</v>
      </c>
      <c r="D89" s="851"/>
      <c r="E89" s="851"/>
      <c r="F89" s="851"/>
      <c r="G89" s="851"/>
      <c r="H89" s="852"/>
      <c r="I89" s="260" t="s">
        <v>79</v>
      </c>
      <c r="J89" s="264">
        <v>1</v>
      </c>
      <c r="K89" s="264">
        <v>389856</v>
      </c>
      <c r="L89" s="228">
        <f t="shared" si="5"/>
        <v>389856</v>
      </c>
      <c r="M89" s="196"/>
      <c r="N89" s="229"/>
      <c r="O89" s="179"/>
      <c r="P89" s="249"/>
      <c r="Q89" s="231"/>
      <c r="R89" s="235">
        <f t="shared" si="6"/>
        <v>0</v>
      </c>
      <c r="S89" s="250"/>
      <c r="T89" s="234">
        <f t="shared" si="7"/>
        <v>0</v>
      </c>
      <c r="U89" s="235">
        <f t="shared" si="8"/>
        <v>0</v>
      </c>
      <c r="V89" s="822"/>
      <c r="W89" s="823"/>
      <c r="X89" s="201"/>
      <c r="AA89" s="150"/>
    </row>
    <row r="90" spans="2:27" s="190" customFormat="1" ht="31.5" customHeight="1">
      <c r="B90" s="259" t="s">
        <v>136</v>
      </c>
      <c r="C90" s="850" t="s">
        <v>137</v>
      </c>
      <c r="D90" s="851"/>
      <c r="E90" s="851"/>
      <c r="F90" s="851"/>
      <c r="G90" s="851"/>
      <c r="H90" s="852"/>
      <c r="I90" s="260" t="s">
        <v>79</v>
      </c>
      <c r="J90" s="264">
        <v>2</v>
      </c>
      <c r="K90" s="264">
        <v>112035</v>
      </c>
      <c r="L90" s="228">
        <f t="shared" si="5"/>
        <v>224070</v>
      </c>
      <c r="M90" s="196"/>
      <c r="N90" s="229"/>
      <c r="O90" s="179"/>
      <c r="P90" s="249"/>
      <c r="Q90" s="231"/>
      <c r="R90" s="235">
        <f t="shared" si="6"/>
        <v>0</v>
      </c>
      <c r="S90" s="250"/>
      <c r="T90" s="234">
        <f t="shared" si="7"/>
        <v>0</v>
      </c>
      <c r="U90" s="235">
        <f t="shared" si="8"/>
        <v>0</v>
      </c>
      <c r="V90" s="822"/>
      <c r="W90" s="823"/>
      <c r="X90" s="201"/>
      <c r="AA90" s="150"/>
    </row>
    <row r="91" spans="2:27" s="190" customFormat="1" ht="28.5" customHeight="1">
      <c r="B91" s="259" t="s">
        <v>138</v>
      </c>
      <c r="C91" s="850" t="s">
        <v>139</v>
      </c>
      <c r="D91" s="851"/>
      <c r="E91" s="851"/>
      <c r="F91" s="851"/>
      <c r="G91" s="851"/>
      <c r="H91" s="852"/>
      <c r="I91" s="260" t="s">
        <v>79</v>
      </c>
      <c r="J91" s="264">
        <v>10</v>
      </c>
      <c r="K91" s="264">
        <v>115283</v>
      </c>
      <c r="L91" s="228">
        <f t="shared" si="5"/>
        <v>1152830</v>
      </c>
      <c r="M91" s="196"/>
      <c r="N91" s="229"/>
      <c r="O91" s="179"/>
      <c r="P91" s="249"/>
      <c r="Q91" s="231"/>
      <c r="R91" s="235">
        <f t="shared" si="6"/>
        <v>0</v>
      </c>
      <c r="S91" s="250"/>
      <c r="T91" s="234">
        <f t="shared" si="7"/>
        <v>0</v>
      </c>
      <c r="U91" s="235">
        <f t="shared" si="8"/>
        <v>0</v>
      </c>
      <c r="V91" s="822"/>
      <c r="W91" s="823"/>
      <c r="X91" s="201"/>
      <c r="AA91" s="150"/>
    </row>
    <row r="92" spans="2:27" s="190" customFormat="1" ht="29.25" customHeight="1">
      <c r="B92" s="259" t="s">
        <v>140</v>
      </c>
      <c r="C92" s="850" t="s">
        <v>141</v>
      </c>
      <c r="D92" s="851"/>
      <c r="E92" s="851"/>
      <c r="F92" s="851"/>
      <c r="G92" s="851"/>
      <c r="H92" s="852"/>
      <c r="I92" s="260" t="s">
        <v>79</v>
      </c>
      <c r="J92" s="264">
        <v>6</v>
      </c>
      <c r="K92" s="264">
        <v>102344</v>
      </c>
      <c r="L92" s="228">
        <f t="shared" si="5"/>
        <v>614064</v>
      </c>
      <c r="M92" s="196"/>
      <c r="N92" s="229"/>
      <c r="O92" s="179"/>
      <c r="P92" s="249"/>
      <c r="Q92" s="231"/>
      <c r="R92" s="235">
        <f t="shared" si="6"/>
        <v>0</v>
      </c>
      <c r="S92" s="250"/>
      <c r="T92" s="234">
        <f t="shared" si="7"/>
        <v>0</v>
      </c>
      <c r="U92" s="235">
        <f t="shared" si="8"/>
        <v>0</v>
      </c>
      <c r="V92" s="822"/>
      <c r="W92" s="823"/>
      <c r="X92" s="201"/>
      <c r="AA92" s="150"/>
    </row>
    <row r="93" spans="2:27" s="190" customFormat="1" ht="69" customHeight="1">
      <c r="B93" s="270" t="s">
        <v>142</v>
      </c>
      <c r="C93" s="850" t="s">
        <v>143</v>
      </c>
      <c r="D93" s="851"/>
      <c r="E93" s="851"/>
      <c r="F93" s="851"/>
      <c r="G93" s="851"/>
      <c r="H93" s="852"/>
      <c r="I93" s="260" t="s">
        <v>79</v>
      </c>
      <c r="J93" s="264">
        <v>10</v>
      </c>
      <c r="K93" s="264">
        <v>237666</v>
      </c>
      <c r="L93" s="228">
        <f t="shared" si="5"/>
        <v>2376660</v>
      </c>
      <c r="M93" s="196"/>
      <c r="N93" s="229"/>
      <c r="O93" s="179"/>
      <c r="P93" s="249"/>
      <c r="Q93" s="231"/>
      <c r="R93" s="235">
        <f t="shared" si="6"/>
        <v>0</v>
      </c>
      <c r="S93" s="250"/>
      <c r="T93" s="234">
        <f t="shared" si="7"/>
        <v>0</v>
      </c>
      <c r="U93" s="235">
        <f t="shared" si="8"/>
        <v>0</v>
      </c>
      <c r="V93" s="822"/>
      <c r="W93" s="823"/>
      <c r="X93" s="201"/>
      <c r="AA93" s="150"/>
    </row>
    <row r="94" spans="2:27" s="190" customFormat="1" ht="29.25" customHeight="1">
      <c r="B94" s="269">
        <v>6</v>
      </c>
      <c r="C94" s="853" t="s">
        <v>144</v>
      </c>
      <c r="D94" s="854"/>
      <c r="E94" s="854"/>
      <c r="F94" s="854"/>
      <c r="G94" s="854"/>
      <c r="H94" s="855"/>
      <c r="I94" s="260"/>
      <c r="J94" s="264"/>
      <c r="K94" s="264"/>
      <c r="L94" s="228">
        <f t="shared" si="5"/>
        <v>0</v>
      </c>
      <c r="M94" s="196"/>
      <c r="N94" s="229"/>
      <c r="O94" s="179"/>
      <c r="P94" s="249"/>
      <c r="Q94" s="231"/>
      <c r="R94" s="235">
        <f t="shared" si="6"/>
        <v>0</v>
      </c>
      <c r="S94" s="250"/>
      <c r="T94" s="234">
        <f t="shared" si="7"/>
        <v>0</v>
      </c>
      <c r="U94" s="235">
        <f t="shared" si="8"/>
        <v>0</v>
      </c>
      <c r="V94" s="822"/>
      <c r="W94" s="823"/>
      <c r="X94" s="201"/>
      <c r="AA94" s="150"/>
    </row>
    <row r="95" spans="2:27" s="190" customFormat="1" ht="29.25" customHeight="1">
      <c r="B95" s="259" t="s">
        <v>145</v>
      </c>
      <c r="C95" s="850" t="s">
        <v>146</v>
      </c>
      <c r="D95" s="851"/>
      <c r="E95" s="851"/>
      <c r="F95" s="851"/>
      <c r="G95" s="851"/>
      <c r="H95" s="852"/>
      <c r="I95" s="260" t="s">
        <v>132</v>
      </c>
      <c r="J95" s="264">
        <v>23.5</v>
      </c>
      <c r="K95" s="264">
        <v>69784</v>
      </c>
      <c r="L95" s="228">
        <f t="shared" si="5"/>
        <v>1639924</v>
      </c>
      <c r="M95" s="196"/>
      <c r="N95" s="229"/>
      <c r="O95" s="179"/>
      <c r="P95" s="249"/>
      <c r="Q95" s="231"/>
      <c r="R95" s="235">
        <f t="shared" si="6"/>
        <v>0</v>
      </c>
      <c r="S95" s="250"/>
      <c r="T95" s="234">
        <f t="shared" si="7"/>
        <v>0</v>
      </c>
      <c r="U95" s="235">
        <f t="shared" si="8"/>
        <v>0</v>
      </c>
      <c r="V95" s="822"/>
      <c r="W95" s="823"/>
      <c r="X95" s="201"/>
      <c r="AA95" s="150"/>
    </row>
    <row r="96" spans="2:27" s="190" customFormat="1" ht="29.25" customHeight="1">
      <c r="B96" s="259" t="s">
        <v>147</v>
      </c>
      <c r="C96" s="850" t="s">
        <v>148</v>
      </c>
      <c r="D96" s="851"/>
      <c r="E96" s="851"/>
      <c r="F96" s="851"/>
      <c r="G96" s="851"/>
      <c r="H96" s="852"/>
      <c r="I96" s="260" t="s">
        <v>132</v>
      </c>
      <c r="J96" s="264">
        <v>16</v>
      </c>
      <c r="K96" s="264">
        <v>43035</v>
      </c>
      <c r="L96" s="228">
        <f t="shared" si="5"/>
        <v>688560</v>
      </c>
      <c r="M96" s="196"/>
      <c r="N96" s="229"/>
      <c r="O96" s="179"/>
      <c r="P96" s="249"/>
      <c r="Q96" s="231"/>
      <c r="R96" s="235">
        <f t="shared" si="6"/>
        <v>0</v>
      </c>
      <c r="S96" s="250"/>
      <c r="T96" s="234">
        <f t="shared" si="7"/>
        <v>0</v>
      </c>
      <c r="U96" s="235">
        <f t="shared" si="8"/>
        <v>0</v>
      </c>
      <c r="V96" s="822"/>
      <c r="W96" s="823"/>
      <c r="X96" s="201"/>
      <c r="AA96" s="150"/>
    </row>
    <row r="97" spans="2:27" s="190" customFormat="1" ht="29.25" customHeight="1">
      <c r="B97" s="269">
        <v>7</v>
      </c>
      <c r="C97" s="853" t="s">
        <v>149</v>
      </c>
      <c r="D97" s="854"/>
      <c r="E97" s="854"/>
      <c r="F97" s="854"/>
      <c r="G97" s="854"/>
      <c r="H97" s="855"/>
      <c r="I97" s="260"/>
      <c r="J97" s="264"/>
      <c r="K97" s="264"/>
      <c r="L97" s="228">
        <f t="shared" si="5"/>
        <v>0</v>
      </c>
      <c r="M97" s="196"/>
      <c r="N97" s="229"/>
      <c r="O97" s="179"/>
      <c r="P97" s="249"/>
      <c r="Q97" s="231"/>
      <c r="R97" s="235">
        <f t="shared" si="6"/>
        <v>0</v>
      </c>
      <c r="S97" s="250"/>
      <c r="T97" s="234">
        <f t="shared" si="7"/>
        <v>0</v>
      </c>
      <c r="U97" s="235">
        <f t="shared" si="8"/>
        <v>0</v>
      </c>
      <c r="V97" s="822"/>
      <c r="W97" s="823"/>
      <c r="X97" s="201"/>
      <c r="AA97" s="150"/>
    </row>
    <row r="98" spans="2:27" s="190" customFormat="1" ht="29.25" customHeight="1">
      <c r="B98" s="259" t="s">
        <v>150</v>
      </c>
      <c r="C98" s="856" t="s">
        <v>151</v>
      </c>
      <c r="D98" s="857"/>
      <c r="E98" s="857"/>
      <c r="F98" s="857"/>
      <c r="G98" s="857"/>
      <c r="H98" s="858"/>
      <c r="I98" s="260" t="s">
        <v>71</v>
      </c>
      <c r="J98" s="264">
        <v>69.152500000000003</v>
      </c>
      <c r="K98" s="264">
        <v>82258</v>
      </c>
      <c r="L98" s="228">
        <f>J98*K98</f>
        <v>5688346.3450000007</v>
      </c>
      <c r="M98" s="196"/>
      <c r="N98" s="229"/>
      <c r="O98" s="179"/>
      <c r="P98" s="249"/>
      <c r="Q98" s="264">
        <v>69.150000000000006</v>
      </c>
      <c r="R98" s="235">
        <f t="shared" si="6"/>
        <v>5688140.7000000002</v>
      </c>
      <c r="S98" s="250"/>
      <c r="T98" s="271">
        <f t="shared" si="7"/>
        <v>69.150000000000006</v>
      </c>
      <c r="U98" s="235">
        <f t="shared" si="8"/>
        <v>5688140.7000000002</v>
      </c>
      <c r="V98" s="822"/>
      <c r="W98" s="823"/>
      <c r="X98" s="201"/>
      <c r="AA98" s="150"/>
    </row>
    <row r="99" spans="2:27" s="190" customFormat="1" ht="29.25" customHeight="1">
      <c r="B99" s="259" t="s">
        <v>152</v>
      </c>
      <c r="C99" s="856" t="s">
        <v>153</v>
      </c>
      <c r="D99" s="857"/>
      <c r="E99" s="857"/>
      <c r="F99" s="857"/>
      <c r="G99" s="857"/>
      <c r="H99" s="858"/>
      <c r="I99" s="260" t="s">
        <v>132</v>
      </c>
      <c r="J99" s="264">
        <v>33.6</v>
      </c>
      <c r="K99" s="264">
        <v>79943</v>
      </c>
      <c r="L99" s="228">
        <f>K99*J99</f>
        <v>2686084.8000000003</v>
      </c>
      <c r="M99" s="196"/>
      <c r="N99" s="229"/>
      <c r="O99" s="179"/>
      <c r="P99" s="249"/>
      <c r="Q99" s="231"/>
      <c r="R99" s="235">
        <f t="shared" si="6"/>
        <v>0</v>
      </c>
      <c r="S99" s="250"/>
      <c r="T99" s="234">
        <f t="shared" si="7"/>
        <v>0</v>
      </c>
      <c r="U99" s="235">
        <f t="shared" si="8"/>
        <v>0</v>
      </c>
      <c r="V99" s="822"/>
      <c r="W99" s="823"/>
      <c r="X99" s="201"/>
      <c r="AA99" s="150"/>
    </row>
    <row r="100" spans="2:27" s="190" customFormat="1" ht="29.25" customHeight="1">
      <c r="B100" s="259" t="s">
        <v>154</v>
      </c>
      <c r="C100" s="856" t="s">
        <v>155</v>
      </c>
      <c r="D100" s="857"/>
      <c r="E100" s="857"/>
      <c r="F100" s="857"/>
      <c r="G100" s="857"/>
      <c r="H100" s="858"/>
      <c r="I100" s="260" t="s">
        <v>71</v>
      </c>
      <c r="J100" s="272">
        <v>40</v>
      </c>
      <c r="K100" s="273">
        <v>53084</v>
      </c>
      <c r="L100" s="228">
        <f t="shared" si="5"/>
        <v>2123360</v>
      </c>
      <c r="M100" s="196"/>
      <c r="N100" s="229">
        <v>40</v>
      </c>
      <c r="O100" s="179">
        <f t="shared" si="11"/>
        <v>2123360</v>
      </c>
      <c r="P100" s="249"/>
      <c r="Q100" s="231"/>
      <c r="R100" s="235">
        <f t="shared" si="6"/>
        <v>0</v>
      </c>
      <c r="S100" s="250"/>
      <c r="T100" s="234">
        <f t="shared" si="7"/>
        <v>40</v>
      </c>
      <c r="U100" s="235">
        <f t="shared" si="8"/>
        <v>2123360</v>
      </c>
      <c r="V100" s="822"/>
      <c r="W100" s="823"/>
      <c r="X100" s="201"/>
      <c r="AA100" s="150"/>
    </row>
    <row r="101" spans="2:27" s="190" customFormat="1" ht="29.25" customHeight="1">
      <c r="B101" s="259" t="s">
        <v>156</v>
      </c>
      <c r="C101" s="856" t="s">
        <v>157</v>
      </c>
      <c r="D101" s="857"/>
      <c r="E101" s="857"/>
      <c r="F101" s="857"/>
      <c r="G101" s="857"/>
      <c r="H101" s="858"/>
      <c r="I101" s="260" t="s">
        <v>91</v>
      </c>
      <c r="J101" s="264">
        <v>70</v>
      </c>
      <c r="K101" s="264">
        <v>80779</v>
      </c>
      <c r="L101" s="228"/>
      <c r="M101" s="196"/>
      <c r="N101" s="229"/>
      <c r="O101" s="179"/>
      <c r="P101" s="249"/>
      <c r="Q101" s="231"/>
      <c r="R101" s="232">
        <f t="shared" si="6"/>
        <v>0</v>
      </c>
      <c r="S101" s="250"/>
      <c r="T101" s="268">
        <f t="shared" si="7"/>
        <v>0</v>
      </c>
      <c r="U101" s="235">
        <f t="shared" si="8"/>
        <v>0</v>
      </c>
      <c r="V101" s="822"/>
      <c r="W101" s="823"/>
      <c r="X101" s="201"/>
      <c r="AA101" s="150"/>
    </row>
    <row r="102" spans="2:27" s="190" customFormat="1" ht="29.25" customHeight="1">
      <c r="B102" s="269">
        <v>8</v>
      </c>
      <c r="C102" s="853" t="s">
        <v>158</v>
      </c>
      <c r="D102" s="854"/>
      <c r="E102" s="854"/>
      <c r="F102" s="854"/>
      <c r="G102" s="854"/>
      <c r="H102" s="855"/>
      <c r="I102" s="260"/>
      <c r="J102" s="264"/>
      <c r="K102" s="264"/>
      <c r="L102" s="228">
        <f t="shared" si="5"/>
        <v>0</v>
      </c>
      <c r="M102" s="196"/>
      <c r="N102" s="229"/>
      <c r="O102" s="179"/>
      <c r="P102" s="249"/>
      <c r="Q102" s="231"/>
      <c r="R102" s="232">
        <f t="shared" si="6"/>
        <v>0</v>
      </c>
      <c r="S102" s="250"/>
      <c r="T102" s="234">
        <f t="shared" si="7"/>
        <v>0</v>
      </c>
      <c r="U102" s="235">
        <f t="shared" si="8"/>
        <v>0</v>
      </c>
      <c r="V102" s="822"/>
      <c r="W102" s="823"/>
      <c r="X102" s="201"/>
      <c r="AA102" s="150"/>
    </row>
    <row r="103" spans="2:27" s="190" customFormat="1" ht="29.25" customHeight="1">
      <c r="B103" s="259" t="s">
        <v>159</v>
      </c>
      <c r="C103" s="850" t="s">
        <v>160</v>
      </c>
      <c r="D103" s="851"/>
      <c r="E103" s="851"/>
      <c r="F103" s="851"/>
      <c r="G103" s="851"/>
      <c r="H103" s="852"/>
      <c r="I103" s="260" t="s">
        <v>71</v>
      </c>
      <c r="J103" s="264">
        <v>54.599999999999994</v>
      </c>
      <c r="K103" s="264">
        <v>18250</v>
      </c>
      <c r="L103" s="228">
        <f t="shared" si="5"/>
        <v>996449.99999999988</v>
      </c>
      <c r="M103" s="196"/>
      <c r="N103" s="229"/>
      <c r="O103" s="179"/>
      <c r="P103" s="249"/>
      <c r="Q103" s="231"/>
      <c r="R103" s="232">
        <f t="shared" si="6"/>
        <v>0</v>
      </c>
      <c r="S103" s="250"/>
      <c r="T103" s="234">
        <f t="shared" si="7"/>
        <v>0</v>
      </c>
      <c r="U103" s="235">
        <f t="shared" si="8"/>
        <v>0</v>
      </c>
      <c r="V103" s="822"/>
      <c r="W103" s="823"/>
      <c r="X103" s="201"/>
      <c r="AA103" s="150"/>
    </row>
    <row r="104" spans="2:27" s="190" customFormat="1" ht="29.25" customHeight="1">
      <c r="B104" s="269">
        <v>9</v>
      </c>
      <c r="C104" s="853" t="s">
        <v>161</v>
      </c>
      <c r="D104" s="854"/>
      <c r="E104" s="854"/>
      <c r="F104" s="854"/>
      <c r="G104" s="854"/>
      <c r="H104" s="855"/>
      <c r="I104" s="260"/>
      <c r="J104" s="264"/>
      <c r="K104" s="264"/>
      <c r="L104" s="228">
        <f t="shared" si="5"/>
        <v>0</v>
      </c>
      <c r="M104" s="196"/>
      <c r="N104" s="229"/>
      <c r="O104" s="179"/>
      <c r="P104" s="249"/>
      <c r="Q104" s="231"/>
      <c r="R104" s="232">
        <f t="shared" si="6"/>
        <v>0</v>
      </c>
      <c r="S104" s="250"/>
      <c r="T104" s="234">
        <f t="shared" si="7"/>
        <v>0</v>
      </c>
      <c r="U104" s="235">
        <f t="shared" si="8"/>
        <v>0</v>
      </c>
      <c r="V104" s="822"/>
      <c r="W104" s="823"/>
      <c r="X104" s="201"/>
      <c r="AA104" s="150"/>
    </row>
    <row r="105" spans="2:27" s="190" customFormat="1" ht="29.25" customHeight="1">
      <c r="B105" s="259" t="s">
        <v>162</v>
      </c>
      <c r="C105" s="850" t="s">
        <v>163</v>
      </c>
      <c r="D105" s="851"/>
      <c r="E105" s="851"/>
      <c r="F105" s="851"/>
      <c r="G105" s="851"/>
      <c r="H105" s="852"/>
      <c r="I105" s="260" t="s">
        <v>71</v>
      </c>
      <c r="J105" s="264">
        <v>2.88</v>
      </c>
      <c r="K105" s="264">
        <v>422186</v>
      </c>
      <c r="L105" s="228">
        <f t="shared" si="5"/>
        <v>1215895.68</v>
      </c>
      <c r="M105" s="196"/>
      <c r="N105" s="229"/>
      <c r="O105" s="179"/>
      <c r="P105" s="249"/>
      <c r="Q105" s="231"/>
      <c r="R105" s="232">
        <f t="shared" si="6"/>
        <v>0</v>
      </c>
      <c r="S105" s="250"/>
      <c r="T105" s="234">
        <f t="shared" si="7"/>
        <v>0</v>
      </c>
      <c r="U105" s="235">
        <f t="shared" si="8"/>
        <v>0</v>
      </c>
      <c r="V105" s="822"/>
      <c r="W105" s="823"/>
      <c r="X105" s="201"/>
      <c r="AA105" s="150"/>
    </row>
    <row r="106" spans="2:27" s="190" customFormat="1" ht="29.25" customHeight="1">
      <c r="B106" s="259" t="s">
        <v>164</v>
      </c>
      <c r="C106" s="850" t="s">
        <v>165</v>
      </c>
      <c r="D106" s="851"/>
      <c r="E106" s="851"/>
      <c r="F106" s="851"/>
      <c r="G106" s="851"/>
      <c r="H106" s="852"/>
      <c r="I106" s="260" t="s">
        <v>71</v>
      </c>
      <c r="J106" s="264">
        <v>38.674999999999997</v>
      </c>
      <c r="K106" s="264">
        <v>224465</v>
      </c>
      <c r="L106" s="228">
        <f t="shared" si="5"/>
        <v>8681183.875</v>
      </c>
      <c r="M106" s="196"/>
      <c r="N106" s="229"/>
      <c r="O106" s="179"/>
      <c r="P106" s="249"/>
      <c r="Q106" s="231"/>
      <c r="R106" s="232">
        <f t="shared" si="6"/>
        <v>0</v>
      </c>
      <c r="S106" s="250"/>
      <c r="T106" s="234">
        <f t="shared" si="7"/>
        <v>0</v>
      </c>
      <c r="U106" s="235">
        <f t="shared" si="8"/>
        <v>0</v>
      </c>
      <c r="V106" s="822"/>
      <c r="W106" s="823"/>
      <c r="X106" s="201"/>
      <c r="AA106" s="150"/>
    </row>
    <row r="107" spans="2:27" s="190" customFormat="1" ht="29.25" customHeight="1">
      <c r="B107" s="259" t="s">
        <v>166</v>
      </c>
      <c r="C107" s="850" t="s">
        <v>167</v>
      </c>
      <c r="D107" s="851"/>
      <c r="E107" s="851"/>
      <c r="F107" s="851"/>
      <c r="G107" s="851"/>
      <c r="H107" s="852"/>
      <c r="I107" s="260" t="s">
        <v>168</v>
      </c>
      <c r="J107" s="264">
        <v>38.675081645157206</v>
      </c>
      <c r="K107" s="264">
        <v>112693</v>
      </c>
      <c r="L107" s="228">
        <f t="shared" si="5"/>
        <v>4358410.975837701</v>
      </c>
      <c r="M107" s="196"/>
      <c r="N107" s="229"/>
      <c r="O107" s="179"/>
      <c r="P107" s="249"/>
      <c r="Q107" s="231"/>
      <c r="R107" s="232">
        <f t="shared" si="6"/>
        <v>0</v>
      </c>
      <c r="S107" s="250"/>
      <c r="T107" s="234">
        <f t="shared" si="7"/>
        <v>0</v>
      </c>
      <c r="U107" s="235">
        <f t="shared" si="8"/>
        <v>0</v>
      </c>
      <c r="V107" s="822"/>
      <c r="W107" s="823"/>
      <c r="X107" s="201"/>
      <c r="AA107" s="150"/>
    </row>
    <row r="108" spans="2:27" s="190" customFormat="1" ht="29.25" customHeight="1">
      <c r="B108" s="269">
        <v>10</v>
      </c>
      <c r="C108" s="853" t="s">
        <v>169</v>
      </c>
      <c r="D108" s="854"/>
      <c r="E108" s="854"/>
      <c r="F108" s="854"/>
      <c r="G108" s="854"/>
      <c r="H108" s="855"/>
      <c r="I108" s="260"/>
      <c r="J108" s="264"/>
      <c r="K108" s="264"/>
      <c r="L108" s="228">
        <f t="shared" si="5"/>
        <v>0</v>
      </c>
      <c r="M108" s="196"/>
      <c r="N108" s="229"/>
      <c r="O108" s="179"/>
      <c r="P108" s="249"/>
      <c r="Q108" s="231"/>
      <c r="R108" s="232">
        <f t="shared" si="6"/>
        <v>0</v>
      </c>
      <c r="S108" s="250"/>
      <c r="T108" s="234">
        <f t="shared" si="7"/>
        <v>0</v>
      </c>
      <c r="U108" s="235">
        <f t="shared" si="8"/>
        <v>0</v>
      </c>
      <c r="V108" s="822"/>
      <c r="W108" s="823"/>
      <c r="X108" s="201"/>
      <c r="AA108" s="150"/>
    </row>
    <row r="109" spans="2:27" s="190" customFormat="1" ht="29.25" customHeight="1">
      <c r="B109" s="259" t="s">
        <v>170</v>
      </c>
      <c r="C109" s="850" t="s">
        <v>171</v>
      </c>
      <c r="D109" s="851"/>
      <c r="E109" s="851"/>
      <c r="F109" s="851"/>
      <c r="G109" s="851"/>
      <c r="H109" s="852"/>
      <c r="I109" s="260" t="s">
        <v>91</v>
      </c>
      <c r="J109" s="264">
        <v>70</v>
      </c>
      <c r="K109" s="264">
        <v>2791</v>
      </c>
      <c r="L109" s="228">
        <f t="shared" si="5"/>
        <v>195370</v>
      </c>
      <c r="M109" s="196"/>
      <c r="N109" s="229"/>
      <c r="O109" s="179"/>
      <c r="P109" s="249"/>
      <c r="Q109" s="231"/>
      <c r="R109" s="232">
        <f t="shared" si="6"/>
        <v>0</v>
      </c>
      <c r="S109" s="250"/>
      <c r="T109" s="234">
        <f t="shared" si="7"/>
        <v>0</v>
      </c>
      <c r="U109" s="235">
        <f t="shared" si="8"/>
        <v>0</v>
      </c>
      <c r="V109" s="822"/>
      <c r="W109" s="823"/>
      <c r="X109" s="201"/>
      <c r="AA109" s="150"/>
    </row>
    <row r="110" spans="2:27" s="190" customFormat="1" ht="35.25" customHeight="1">
      <c r="B110" s="269">
        <v>11</v>
      </c>
      <c r="C110" s="853" t="s">
        <v>172</v>
      </c>
      <c r="D110" s="854"/>
      <c r="E110" s="854"/>
      <c r="F110" s="854"/>
      <c r="G110" s="854"/>
      <c r="H110" s="855"/>
      <c r="I110" s="260"/>
      <c r="J110" s="264"/>
      <c r="K110" s="264"/>
      <c r="L110" s="228">
        <f t="shared" si="5"/>
        <v>0</v>
      </c>
      <c r="M110" s="196"/>
      <c r="N110" s="274"/>
      <c r="O110" s="179"/>
      <c r="P110" s="249"/>
      <c r="Q110" s="231"/>
      <c r="R110" s="232">
        <f t="shared" si="6"/>
        <v>0</v>
      </c>
      <c r="S110" s="250"/>
      <c r="T110" s="234">
        <f t="shared" si="7"/>
        <v>0</v>
      </c>
      <c r="U110" s="235"/>
      <c r="V110" s="822"/>
      <c r="W110" s="823"/>
      <c r="X110" s="201"/>
      <c r="AA110" s="150"/>
    </row>
    <row r="111" spans="2:27" s="190" customFormat="1" ht="29.25" customHeight="1">
      <c r="B111" s="259" t="s">
        <v>173</v>
      </c>
      <c r="C111" s="872" t="s">
        <v>174</v>
      </c>
      <c r="D111" s="873"/>
      <c r="E111" s="873"/>
      <c r="F111" s="873"/>
      <c r="G111" s="873"/>
      <c r="H111" s="874"/>
      <c r="I111" s="260" t="s">
        <v>175</v>
      </c>
      <c r="J111" s="264">
        <v>3609.2342095099139</v>
      </c>
      <c r="K111" s="264">
        <v>3812</v>
      </c>
      <c r="L111" s="228">
        <f t="shared" si="5"/>
        <v>13758400.806651792</v>
      </c>
      <c r="M111" s="196"/>
      <c r="N111" s="275">
        <v>1769.83</v>
      </c>
      <c r="O111" s="179">
        <f t="shared" si="11"/>
        <v>6746591.96</v>
      </c>
      <c r="P111" s="249"/>
      <c r="Q111" s="276">
        <v>839.4</v>
      </c>
      <c r="R111" s="277">
        <f t="shared" si="6"/>
        <v>3199792.8</v>
      </c>
      <c r="S111" s="278"/>
      <c r="T111" s="268">
        <f>+N111+Q111</f>
        <v>2609.23</v>
      </c>
      <c r="U111" s="279">
        <f t="shared" si="8"/>
        <v>9946384.7599999998</v>
      </c>
      <c r="V111" s="822"/>
      <c r="W111" s="823"/>
      <c r="X111" s="201"/>
      <c r="AA111" s="150"/>
    </row>
    <row r="112" spans="2:27" s="190" customFormat="1" ht="29.25" customHeight="1">
      <c r="B112" s="259" t="s">
        <v>176</v>
      </c>
      <c r="C112" s="859" t="s">
        <v>177</v>
      </c>
      <c r="D112" s="860"/>
      <c r="E112" s="860"/>
      <c r="F112" s="860"/>
      <c r="G112" s="860"/>
      <c r="H112" s="861"/>
      <c r="I112" s="260" t="str">
        <f>'[13]PRECIOS TOPE'!$C$1269</f>
        <v>Km</v>
      </c>
      <c r="J112" s="264">
        <v>5922.3021835295795</v>
      </c>
      <c r="K112" s="264">
        <v>5764</v>
      </c>
      <c r="L112" s="228">
        <f t="shared" si="5"/>
        <v>34136149.785864495</v>
      </c>
      <c r="M112" s="196"/>
      <c r="N112" s="275">
        <v>3222.3</v>
      </c>
      <c r="O112" s="179">
        <f t="shared" si="11"/>
        <v>18573337.199999999</v>
      </c>
      <c r="P112" s="249"/>
      <c r="Q112" s="276">
        <v>2200</v>
      </c>
      <c r="R112" s="277">
        <f t="shared" si="6"/>
        <v>12680800</v>
      </c>
      <c r="S112" s="278"/>
      <c r="T112" s="268">
        <f>+N112+Q112</f>
        <v>5422.3</v>
      </c>
      <c r="U112" s="279">
        <f t="shared" si="8"/>
        <v>31254137.199999999</v>
      </c>
      <c r="V112" s="822"/>
      <c r="W112" s="823"/>
      <c r="X112" s="201"/>
      <c r="AA112" s="150"/>
    </row>
    <row r="113" spans="1:27" s="150" customFormat="1" ht="27.75" customHeight="1">
      <c r="B113" s="280"/>
      <c r="C113" s="862" t="s">
        <v>178</v>
      </c>
      <c r="D113" s="863"/>
      <c r="E113" s="863"/>
      <c r="F113" s="863"/>
      <c r="G113" s="863"/>
      <c r="H113" s="864"/>
      <c r="I113" s="281"/>
      <c r="J113" s="282"/>
      <c r="K113" s="283"/>
      <c r="L113" s="284">
        <f>SUM(L64:L112)</f>
        <v>135364747.36000001</v>
      </c>
      <c r="M113" s="196"/>
      <c r="N113" s="285"/>
      <c r="O113" s="286">
        <f>SUM(O64:O112)</f>
        <v>45414956.850000001</v>
      </c>
      <c r="P113" s="245"/>
      <c r="Q113" s="287"/>
      <c r="R113" s="288">
        <f>SUM(R64:R112)</f>
        <v>34244591.600000001</v>
      </c>
      <c r="S113" s="289"/>
      <c r="T113" s="290">
        <f t="shared" si="7"/>
        <v>0</v>
      </c>
      <c r="U113" s="291">
        <f>+SUM(U64:U112)</f>
        <v>79635449.280000001</v>
      </c>
      <c r="V113" s="865"/>
      <c r="W113" s="866"/>
      <c r="X113" s="149"/>
      <c r="AA113" s="292"/>
    </row>
    <row r="114" spans="1:27" s="190" customFormat="1" ht="15.75" thickBot="1">
      <c r="B114" s="293"/>
      <c r="C114" s="294"/>
      <c r="D114" s="294"/>
      <c r="E114" s="294"/>
      <c r="F114" s="294"/>
      <c r="G114" s="294"/>
      <c r="H114" s="294"/>
      <c r="I114" s="294"/>
      <c r="J114" s="294"/>
      <c r="K114" s="295"/>
      <c r="L114" s="296"/>
      <c r="M114" s="171"/>
      <c r="N114" s="297"/>
      <c r="O114" s="298"/>
      <c r="P114" s="245"/>
      <c r="Q114" s="299"/>
      <c r="R114" s="298"/>
      <c r="S114" s="245"/>
      <c r="T114" s="245"/>
      <c r="U114" s="300"/>
      <c r="V114" s="301"/>
      <c r="W114" s="301"/>
      <c r="X114" s="149"/>
    </row>
    <row r="115" spans="1:27" s="190" customFormat="1" ht="18.75">
      <c r="B115" s="159">
        <v>2</v>
      </c>
      <c r="C115" s="787" t="s">
        <v>179</v>
      </c>
      <c r="D115" s="788"/>
      <c r="E115" s="788"/>
      <c r="F115" s="788"/>
      <c r="G115" s="788"/>
      <c r="H115" s="788"/>
      <c r="I115" s="788"/>
      <c r="J115" s="788"/>
      <c r="K115" s="788"/>
      <c r="L115" s="789"/>
      <c r="M115" s="196"/>
      <c r="N115" s="867" t="s">
        <v>62</v>
      </c>
      <c r="O115" s="868"/>
      <c r="P115" s="249"/>
      <c r="Q115" s="792" t="s">
        <v>63</v>
      </c>
      <c r="R115" s="793"/>
      <c r="S115" s="250"/>
      <c r="T115" s="869" t="s">
        <v>64</v>
      </c>
      <c r="U115" s="870"/>
      <c r="V115" s="870"/>
      <c r="W115" s="871"/>
      <c r="X115" s="201"/>
    </row>
    <row r="116" spans="1:27" s="190" customFormat="1" ht="18.75" customHeight="1">
      <c r="B116" s="164"/>
      <c r="C116" s="813" t="s">
        <v>65</v>
      </c>
      <c r="D116" s="814"/>
      <c r="E116" s="814"/>
      <c r="F116" s="814"/>
      <c r="G116" s="814"/>
      <c r="H116" s="815"/>
      <c r="I116" s="165"/>
      <c r="J116" s="166"/>
      <c r="K116" s="167"/>
      <c r="L116" s="168"/>
      <c r="M116" s="196"/>
      <c r="N116" s="302" t="s">
        <v>66</v>
      </c>
      <c r="O116" s="303" t="s">
        <v>67</v>
      </c>
      <c r="P116" s="245"/>
      <c r="Q116" s="304" t="s">
        <v>66</v>
      </c>
      <c r="R116" s="305" t="s">
        <v>67</v>
      </c>
      <c r="S116" s="245"/>
      <c r="T116" s="302" t="s">
        <v>66</v>
      </c>
      <c r="U116" s="303" t="s">
        <v>68</v>
      </c>
      <c r="V116" s="885" t="s">
        <v>69</v>
      </c>
      <c r="W116" s="886"/>
      <c r="X116" s="201"/>
    </row>
    <row r="117" spans="1:27" s="190" customFormat="1" ht="22.5" customHeight="1">
      <c r="B117" s="306">
        <v>1</v>
      </c>
      <c r="C117" s="887" t="s">
        <v>70</v>
      </c>
      <c r="D117" s="888"/>
      <c r="E117" s="888"/>
      <c r="F117" s="888"/>
      <c r="G117" s="888"/>
      <c r="H117" s="889"/>
      <c r="I117" s="307" t="s">
        <v>71</v>
      </c>
      <c r="J117" s="308">
        <f>J127</f>
        <v>94.56</v>
      </c>
      <c r="K117" s="309">
        <f>26865/1.19</f>
        <v>22575.63025210084</v>
      </c>
      <c r="L117" s="177">
        <f>J117*K117</f>
        <v>2134751.5966386553</v>
      </c>
      <c r="M117" s="171"/>
      <c r="N117" s="234"/>
      <c r="O117" s="181">
        <f>N117*K117</f>
        <v>0</v>
      </c>
      <c r="P117" s="249"/>
      <c r="Q117" s="310">
        <v>94.56</v>
      </c>
      <c r="R117" s="181">
        <f>Q117*K117</f>
        <v>2134751.5966386553</v>
      </c>
      <c r="S117" s="249"/>
      <c r="T117" s="234">
        <f>Q117+N117</f>
        <v>94.56</v>
      </c>
      <c r="U117" s="235">
        <f>T117*K117</f>
        <v>2134751.5966386553</v>
      </c>
      <c r="V117" s="311"/>
      <c r="W117" s="312"/>
      <c r="X117" s="201"/>
      <c r="AA117" s="313"/>
    </row>
    <row r="118" spans="1:27" s="190" customFormat="1" ht="22.5" customHeight="1">
      <c r="B118" s="306">
        <v>2</v>
      </c>
      <c r="C118" s="887" t="s">
        <v>180</v>
      </c>
      <c r="D118" s="888"/>
      <c r="E118" s="888"/>
      <c r="F118" s="888"/>
      <c r="G118" s="888"/>
      <c r="H118" s="889"/>
      <c r="I118" s="307" t="s">
        <v>71</v>
      </c>
      <c r="J118" s="308">
        <f>J117</f>
        <v>94.56</v>
      </c>
      <c r="K118" s="309">
        <f>20653/1.19</f>
        <v>17355.462184873952</v>
      </c>
      <c r="L118" s="314">
        <f>J118*K118</f>
        <v>1641132.5042016809</v>
      </c>
      <c r="M118" s="171"/>
      <c r="N118" s="234"/>
      <c r="O118" s="181">
        <f t="shared" ref="O118" si="14">N118*K118</f>
        <v>0</v>
      </c>
      <c r="P118" s="249"/>
      <c r="Q118" s="310">
        <v>94.56</v>
      </c>
      <c r="R118" s="181">
        <f t="shared" ref="R118:R121" si="15">Q118*K118</f>
        <v>1641132.5042016809</v>
      </c>
      <c r="S118" s="249"/>
      <c r="T118" s="234">
        <f>Q118+N118</f>
        <v>94.56</v>
      </c>
      <c r="U118" s="235">
        <f>T118*K118</f>
        <v>1641132.5042016809</v>
      </c>
      <c r="V118" s="311"/>
      <c r="W118" s="312"/>
      <c r="X118" s="201"/>
      <c r="AA118" s="313"/>
    </row>
    <row r="119" spans="1:27" s="190" customFormat="1" ht="28.5" customHeight="1">
      <c r="B119" s="306">
        <v>3</v>
      </c>
      <c r="C119" s="875" t="s">
        <v>73</v>
      </c>
      <c r="D119" s="876"/>
      <c r="E119" s="876"/>
      <c r="F119" s="876"/>
      <c r="G119" s="876"/>
      <c r="H119" s="877"/>
      <c r="I119" s="315" t="s">
        <v>71</v>
      </c>
      <c r="J119" s="308">
        <f t="shared" ref="J119:J121" si="16">J118</f>
        <v>94.56</v>
      </c>
      <c r="K119" s="309">
        <f>8683/1.19</f>
        <v>7296.6386554621849</v>
      </c>
      <c r="L119" s="177">
        <f t="shared" ref="L119:L121" si="17">J119*K119</f>
        <v>689970.15126050427</v>
      </c>
      <c r="M119" s="171"/>
      <c r="N119" s="316">
        <v>94.56</v>
      </c>
      <c r="O119" s="179">
        <f t="shared" ref="O119:O120" si="18">ROUND(N119*K119,2)</f>
        <v>689970.15</v>
      </c>
      <c r="P119" s="249"/>
      <c r="Q119" s="310"/>
      <c r="R119" s="317">
        <f t="shared" si="15"/>
        <v>0</v>
      </c>
      <c r="S119" s="249"/>
      <c r="T119" s="234">
        <f>Q119+N119</f>
        <v>94.56</v>
      </c>
      <c r="U119" s="235">
        <f t="shared" ref="U119:U120" si="19">T119*K119</f>
        <v>689970.15126050427</v>
      </c>
      <c r="V119" s="311"/>
      <c r="W119" s="312"/>
      <c r="X119" s="201"/>
      <c r="AA119" s="313"/>
    </row>
    <row r="120" spans="1:27" s="190" customFormat="1" ht="22.5" customHeight="1">
      <c r="B120" s="306">
        <v>4</v>
      </c>
      <c r="C120" s="875" t="s">
        <v>74</v>
      </c>
      <c r="D120" s="876"/>
      <c r="E120" s="876"/>
      <c r="F120" s="876"/>
      <c r="G120" s="876"/>
      <c r="H120" s="877"/>
      <c r="I120" s="315" t="s">
        <v>71</v>
      </c>
      <c r="J120" s="308">
        <f t="shared" si="16"/>
        <v>94.56</v>
      </c>
      <c r="K120" s="309">
        <f>2264/1.19</f>
        <v>1902.5210084033615</v>
      </c>
      <c r="L120" s="177">
        <f t="shared" si="17"/>
        <v>179902.38655462186</v>
      </c>
      <c r="M120" s="171"/>
      <c r="N120" s="316">
        <v>94.56</v>
      </c>
      <c r="O120" s="179">
        <f t="shared" si="18"/>
        <v>179902.39</v>
      </c>
      <c r="P120" s="249"/>
      <c r="Q120" s="310"/>
      <c r="R120" s="317">
        <f t="shared" si="15"/>
        <v>0</v>
      </c>
      <c r="S120" s="249"/>
      <c r="T120" s="234">
        <f>Q120+N120</f>
        <v>94.56</v>
      </c>
      <c r="U120" s="235">
        <f t="shared" si="19"/>
        <v>179902.38655462186</v>
      </c>
      <c r="V120" s="311"/>
      <c r="W120" s="312"/>
      <c r="X120" s="201"/>
    </row>
    <row r="121" spans="1:27" s="190" customFormat="1" ht="22.5" customHeight="1">
      <c r="B121" s="306">
        <v>5</v>
      </c>
      <c r="C121" s="875" t="s">
        <v>75</v>
      </c>
      <c r="D121" s="876"/>
      <c r="E121" s="876"/>
      <c r="F121" s="876"/>
      <c r="G121" s="876"/>
      <c r="H121" s="877"/>
      <c r="I121" s="307" t="s">
        <v>71</v>
      </c>
      <c r="J121" s="308">
        <f t="shared" si="16"/>
        <v>94.56</v>
      </c>
      <c r="K121" s="309">
        <f>3967/1.19</f>
        <v>3333.6134453781515</v>
      </c>
      <c r="L121" s="177">
        <f t="shared" si="17"/>
        <v>315226.48739495804</v>
      </c>
      <c r="M121" s="171"/>
      <c r="N121" s="316"/>
      <c r="O121" s="317"/>
      <c r="P121" s="249"/>
      <c r="Q121" s="310"/>
      <c r="R121" s="317">
        <f t="shared" si="15"/>
        <v>0</v>
      </c>
      <c r="S121" s="249"/>
      <c r="T121" s="234"/>
      <c r="U121" s="235"/>
      <c r="V121" s="311"/>
      <c r="W121" s="312"/>
      <c r="X121" s="201"/>
    </row>
    <row r="122" spans="1:27" s="190" customFormat="1" ht="22.5" customHeight="1">
      <c r="B122" s="318"/>
      <c r="C122" s="878" t="s">
        <v>76</v>
      </c>
      <c r="D122" s="878"/>
      <c r="E122" s="878"/>
      <c r="F122" s="878"/>
      <c r="G122" s="878"/>
      <c r="H122" s="878"/>
      <c r="I122" s="319"/>
      <c r="J122" s="320"/>
      <c r="K122" s="321"/>
      <c r="L122" s="322">
        <f>ROUND(SUM(L117:L121),0)</f>
        <v>4960983</v>
      </c>
      <c r="M122" s="171"/>
      <c r="N122" s="316"/>
      <c r="O122" s="235">
        <f>SUM(O117:O121)</f>
        <v>869872.54</v>
      </c>
      <c r="P122" s="249"/>
      <c r="Q122" s="323"/>
      <c r="R122" s="232">
        <f>SUM(R117:R118)</f>
        <v>3775884.1008403362</v>
      </c>
      <c r="S122" s="249"/>
      <c r="T122" s="324">
        <f>+N122+Q122</f>
        <v>0</v>
      </c>
      <c r="U122" s="325">
        <f>SUM(U117:U120)</f>
        <v>4645756.6386554623</v>
      </c>
      <c r="V122" s="822"/>
      <c r="W122" s="823"/>
      <c r="X122" s="201"/>
    </row>
    <row r="123" spans="1:27" s="190" customFormat="1" ht="15.75" customHeight="1">
      <c r="B123" s="326"/>
      <c r="C123" s="203"/>
      <c r="D123" s="203"/>
      <c r="E123" s="203"/>
      <c r="F123" s="203"/>
      <c r="G123" s="203"/>
      <c r="H123" s="203"/>
      <c r="I123" s="294"/>
      <c r="J123" s="327"/>
      <c r="K123" s="328"/>
      <c r="L123" s="296"/>
      <c r="M123" s="171"/>
      <c r="N123" s="329"/>
      <c r="O123" s="330"/>
      <c r="P123" s="249"/>
      <c r="Q123" s="331"/>
      <c r="R123" s="332"/>
      <c r="S123" s="249"/>
      <c r="T123" s="329"/>
      <c r="U123" s="333"/>
      <c r="V123" s="334"/>
      <c r="W123" s="334"/>
      <c r="X123" s="201"/>
    </row>
    <row r="124" spans="1:27" s="190" customFormat="1" ht="15">
      <c r="A124" s="150"/>
      <c r="B124" s="164"/>
      <c r="C124" s="879" t="s">
        <v>181</v>
      </c>
      <c r="D124" s="879"/>
      <c r="E124" s="879"/>
      <c r="F124" s="879"/>
      <c r="G124" s="879"/>
      <c r="H124" s="879"/>
      <c r="I124" s="165"/>
      <c r="J124" s="166"/>
      <c r="K124" s="335"/>
      <c r="L124" s="214"/>
      <c r="M124" s="171"/>
      <c r="N124" s="297"/>
      <c r="O124" s="298"/>
      <c r="P124" s="245"/>
      <c r="Q124" s="299"/>
      <c r="R124" s="336"/>
      <c r="S124" s="245"/>
      <c r="T124" s="245"/>
      <c r="U124" s="300"/>
      <c r="V124" s="301"/>
      <c r="W124" s="301"/>
      <c r="X124" s="149"/>
    </row>
    <row r="125" spans="1:27" s="190" customFormat="1" ht="15">
      <c r="B125" s="337"/>
      <c r="C125" s="880" t="s">
        <v>182</v>
      </c>
      <c r="D125" s="881"/>
      <c r="E125" s="881"/>
      <c r="F125" s="881"/>
      <c r="G125" s="881"/>
      <c r="H125" s="882"/>
      <c r="I125" s="338" t="s">
        <v>79</v>
      </c>
      <c r="J125" s="339" t="s">
        <v>80</v>
      </c>
      <c r="K125" s="340" t="s">
        <v>183</v>
      </c>
      <c r="L125" s="218" t="s">
        <v>184</v>
      </c>
      <c r="M125" s="196"/>
      <c r="N125" s="341" t="s">
        <v>185</v>
      </c>
      <c r="O125" s="342" t="s">
        <v>186</v>
      </c>
      <c r="P125" s="343"/>
      <c r="Q125" s="344" t="s">
        <v>185</v>
      </c>
      <c r="R125" s="345" t="s">
        <v>186</v>
      </c>
      <c r="S125" s="346"/>
      <c r="T125" s="324" t="s">
        <v>80</v>
      </c>
      <c r="U125" s="347" t="s">
        <v>67</v>
      </c>
      <c r="V125" s="883" t="s">
        <v>187</v>
      </c>
      <c r="W125" s="884"/>
      <c r="X125" s="201"/>
    </row>
    <row r="126" spans="1:27" s="190" customFormat="1" ht="15.75">
      <c r="B126" s="337">
        <v>1</v>
      </c>
      <c r="C126" s="890" t="s">
        <v>78</v>
      </c>
      <c r="D126" s="891"/>
      <c r="E126" s="891"/>
      <c r="F126" s="891"/>
      <c r="G126" s="891"/>
      <c r="H126" s="892"/>
      <c r="I126" s="348"/>
      <c r="J126" s="349"/>
      <c r="K126" s="350"/>
      <c r="L126" s="351">
        <f t="shared" ref="L126:L189" si="20">K126*J126</f>
        <v>0</v>
      </c>
      <c r="M126" s="196"/>
      <c r="N126" s="352"/>
      <c r="O126" s="353"/>
      <c r="P126" s="249"/>
      <c r="Q126" s="354"/>
      <c r="R126" s="355"/>
      <c r="S126" s="250"/>
      <c r="T126" s="234">
        <f t="shared" ref="T126:T190" si="21">N126+Q126</f>
        <v>0</v>
      </c>
      <c r="U126" s="235"/>
      <c r="V126" s="311"/>
      <c r="W126" s="312"/>
      <c r="X126" s="201"/>
    </row>
    <row r="127" spans="1:27" s="190" customFormat="1" ht="15" customHeight="1">
      <c r="B127" s="356" t="s">
        <v>83</v>
      </c>
      <c r="C127" s="893" t="s">
        <v>84</v>
      </c>
      <c r="D127" s="894"/>
      <c r="E127" s="894"/>
      <c r="F127" s="894"/>
      <c r="G127" s="894"/>
      <c r="H127" s="895"/>
      <c r="I127" s="356" t="s">
        <v>71</v>
      </c>
      <c r="J127" s="226">
        <v>94.56</v>
      </c>
      <c r="K127" s="227">
        <v>10102</v>
      </c>
      <c r="L127" s="228">
        <f t="shared" si="20"/>
        <v>955245.12</v>
      </c>
      <c r="M127" s="196"/>
      <c r="N127" s="357"/>
      <c r="O127" s="179">
        <f>ROUND(N127*K127,2)</f>
        <v>0</v>
      </c>
      <c r="P127" s="249"/>
      <c r="Q127" s="358">
        <v>94.56</v>
      </c>
      <c r="R127" s="179">
        <f>Q127*K127</f>
        <v>955245.12</v>
      </c>
      <c r="S127" s="250"/>
      <c r="T127" s="234">
        <f t="shared" si="21"/>
        <v>94.56</v>
      </c>
      <c r="U127" s="235">
        <f>T127*K127</f>
        <v>955245.12</v>
      </c>
      <c r="V127" s="822"/>
      <c r="W127" s="823"/>
      <c r="X127" s="201"/>
      <c r="AA127" s="313"/>
    </row>
    <row r="128" spans="1:27" s="190" customFormat="1" ht="15" customHeight="1">
      <c r="B128" s="359" t="s">
        <v>86</v>
      </c>
      <c r="C128" s="893" t="s">
        <v>87</v>
      </c>
      <c r="D128" s="894"/>
      <c r="E128" s="894"/>
      <c r="F128" s="894"/>
      <c r="G128" s="894"/>
      <c r="H128" s="895"/>
      <c r="I128" s="360" t="s">
        <v>71</v>
      </c>
      <c r="J128" s="226">
        <v>94.56</v>
      </c>
      <c r="K128" s="227">
        <v>2832</v>
      </c>
      <c r="L128" s="228">
        <f t="shared" si="20"/>
        <v>267793.91999999998</v>
      </c>
      <c r="M128" s="196"/>
      <c r="N128" s="357"/>
      <c r="O128" s="179">
        <f t="shared" ref="O128:O190" si="22">ROUND(N128*K128,2)</f>
        <v>0</v>
      </c>
      <c r="P128" s="249"/>
      <c r="Q128" s="358">
        <v>94.56</v>
      </c>
      <c r="R128" s="179">
        <f t="shared" ref="R128:R190" si="23">Q128*K128</f>
        <v>267793.91999999998</v>
      </c>
      <c r="S128" s="250"/>
      <c r="T128" s="234">
        <f t="shared" si="21"/>
        <v>94.56</v>
      </c>
      <c r="U128" s="235">
        <f t="shared" ref="U128:U190" si="24">T128*K128</f>
        <v>267793.91999999998</v>
      </c>
      <c r="V128" s="822"/>
      <c r="W128" s="823"/>
      <c r="X128" s="201"/>
      <c r="AA128" s="313"/>
    </row>
    <row r="129" spans="2:27" s="190" customFormat="1" ht="15" customHeight="1">
      <c r="B129" s="356" t="s">
        <v>88</v>
      </c>
      <c r="C129" s="850" t="s">
        <v>89</v>
      </c>
      <c r="D129" s="851"/>
      <c r="E129" s="851"/>
      <c r="F129" s="851"/>
      <c r="G129" s="851"/>
      <c r="H129" s="852"/>
      <c r="I129" s="356" t="s">
        <v>91</v>
      </c>
      <c r="J129" s="226">
        <v>44.224915000000003</v>
      </c>
      <c r="K129" s="361">
        <v>48450</v>
      </c>
      <c r="L129" s="228">
        <f t="shared" si="20"/>
        <v>2142697.1317500002</v>
      </c>
      <c r="M129" s="196"/>
      <c r="N129" s="357"/>
      <c r="O129" s="179">
        <f t="shared" si="22"/>
        <v>0</v>
      </c>
      <c r="P129" s="249"/>
      <c r="Q129" s="358">
        <v>44.22</v>
      </c>
      <c r="R129" s="179">
        <f t="shared" si="23"/>
        <v>2142459</v>
      </c>
      <c r="S129" s="250"/>
      <c r="T129" s="234">
        <f t="shared" si="21"/>
        <v>44.22</v>
      </c>
      <c r="U129" s="235">
        <f t="shared" si="24"/>
        <v>2142459</v>
      </c>
      <c r="V129" s="822"/>
      <c r="W129" s="823"/>
      <c r="X129" s="201"/>
      <c r="AA129" s="313"/>
    </row>
    <row r="130" spans="2:27" s="190" customFormat="1" ht="15" customHeight="1">
      <c r="B130" s="362">
        <v>2</v>
      </c>
      <c r="C130" s="853" t="s">
        <v>188</v>
      </c>
      <c r="D130" s="854"/>
      <c r="E130" s="854"/>
      <c r="F130" s="854"/>
      <c r="G130" s="854"/>
      <c r="H130" s="855"/>
      <c r="I130" s="356"/>
      <c r="J130" s="226"/>
      <c r="K130" s="227"/>
      <c r="L130" s="228">
        <f t="shared" si="20"/>
        <v>0</v>
      </c>
      <c r="M130" s="196"/>
      <c r="N130" s="357">
        <f t="shared" ref="N130" si="25">J130-Q130</f>
        <v>0</v>
      </c>
      <c r="O130" s="179">
        <f t="shared" si="22"/>
        <v>0</v>
      </c>
      <c r="P130" s="249"/>
      <c r="Q130" s="358"/>
      <c r="R130" s="179">
        <f t="shared" si="23"/>
        <v>0</v>
      </c>
      <c r="S130" s="250"/>
      <c r="T130" s="234">
        <f t="shared" si="21"/>
        <v>0</v>
      </c>
      <c r="U130" s="235">
        <f t="shared" si="24"/>
        <v>0</v>
      </c>
      <c r="V130" s="311"/>
      <c r="W130" s="312"/>
      <c r="X130" s="201"/>
      <c r="AA130" s="313"/>
    </row>
    <row r="131" spans="2:27" s="190" customFormat="1" ht="15" customHeight="1">
      <c r="B131" s="356" t="s">
        <v>104</v>
      </c>
      <c r="C131" s="850" t="s">
        <v>105</v>
      </c>
      <c r="D131" s="851"/>
      <c r="E131" s="851"/>
      <c r="F131" s="851"/>
      <c r="G131" s="851"/>
      <c r="H131" s="852"/>
      <c r="I131" s="356" t="s">
        <v>91</v>
      </c>
      <c r="J131" s="226">
        <v>0.56701500000000005</v>
      </c>
      <c r="K131" s="227">
        <v>513005</v>
      </c>
      <c r="L131" s="228">
        <f t="shared" si="20"/>
        <v>290881.53007500002</v>
      </c>
      <c r="M131" s="196"/>
      <c r="N131" s="357"/>
      <c r="O131" s="179">
        <f t="shared" si="22"/>
        <v>0</v>
      </c>
      <c r="P131" s="249"/>
      <c r="Q131" s="358">
        <v>0.56999999999999995</v>
      </c>
      <c r="R131" s="179">
        <f t="shared" si="23"/>
        <v>292412.84999999998</v>
      </c>
      <c r="S131" s="250"/>
      <c r="T131" s="234">
        <f t="shared" si="21"/>
        <v>0.56999999999999995</v>
      </c>
      <c r="U131" s="235">
        <f t="shared" si="24"/>
        <v>292412.84999999998</v>
      </c>
      <c r="V131" s="822"/>
      <c r="W131" s="823"/>
      <c r="X131" s="201"/>
      <c r="AA131" s="313"/>
    </row>
    <row r="132" spans="2:27" s="190" customFormat="1" ht="15" customHeight="1">
      <c r="B132" s="356" t="s">
        <v>102</v>
      </c>
      <c r="C132" s="850" t="s">
        <v>103</v>
      </c>
      <c r="D132" s="851"/>
      <c r="E132" s="851"/>
      <c r="F132" s="851"/>
      <c r="G132" s="851"/>
      <c r="H132" s="852"/>
      <c r="I132" s="356" t="s">
        <v>91</v>
      </c>
      <c r="J132" s="226">
        <v>5.6240000000000006</v>
      </c>
      <c r="K132" s="227">
        <v>461018</v>
      </c>
      <c r="L132" s="228">
        <f t="shared" si="20"/>
        <v>2592765.2320000003</v>
      </c>
      <c r="M132" s="196"/>
      <c r="N132" s="357">
        <v>2.4939999950345619</v>
      </c>
      <c r="O132" s="179">
        <f t="shared" si="22"/>
        <v>1149778.8899999999</v>
      </c>
      <c r="P132" s="249"/>
      <c r="Q132" s="358">
        <v>3.13</v>
      </c>
      <c r="R132" s="179">
        <f t="shared" si="23"/>
        <v>1442986.3399999999</v>
      </c>
      <c r="S132" s="250"/>
      <c r="T132" s="234">
        <f t="shared" si="21"/>
        <v>5.6239999950345618</v>
      </c>
      <c r="U132" s="235">
        <f t="shared" si="24"/>
        <v>2592765.2297108434</v>
      </c>
      <c r="V132" s="822"/>
      <c r="W132" s="823"/>
      <c r="X132" s="201"/>
      <c r="AA132" s="313"/>
    </row>
    <row r="133" spans="2:27" s="190" customFormat="1" ht="15" customHeight="1">
      <c r="B133" s="356" t="s">
        <v>100</v>
      </c>
      <c r="C133" s="850" t="s">
        <v>189</v>
      </c>
      <c r="D133" s="851"/>
      <c r="E133" s="851"/>
      <c r="F133" s="851"/>
      <c r="G133" s="851"/>
      <c r="H133" s="852"/>
      <c r="I133" s="356" t="s">
        <v>91</v>
      </c>
      <c r="J133" s="226">
        <v>4.4000000000000004</v>
      </c>
      <c r="K133" s="227">
        <v>778702</v>
      </c>
      <c r="L133" s="228">
        <f t="shared" si="20"/>
        <v>3426288.8000000003</v>
      </c>
      <c r="M133" s="196"/>
      <c r="N133" s="357">
        <v>0.47</v>
      </c>
      <c r="O133" s="179">
        <f t="shared" si="22"/>
        <v>365989.94</v>
      </c>
      <c r="P133" s="249"/>
      <c r="Q133" s="358">
        <v>3.93</v>
      </c>
      <c r="R133" s="179">
        <f t="shared" si="23"/>
        <v>3060298.8600000003</v>
      </c>
      <c r="S133" s="250"/>
      <c r="T133" s="234">
        <f t="shared" si="21"/>
        <v>4.4000000000000004</v>
      </c>
      <c r="U133" s="235">
        <f t="shared" si="24"/>
        <v>3426288.8000000003</v>
      </c>
      <c r="V133" s="822"/>
      <c r="W133" s="823"/>
      <c r="X133" s="201"/>
    </row>
    <row r="134" spans="2:27" s="190" customFormat="1" ht="15" customHeight="1">
      <c r="B134" s="356" t="s">
        <v>106</v>
      </c>
      <c r="C134" s="850" t="s">
        <v>190</v>
      </c>
      <c r="D134" s="851"/>
      <c r="E134" s="851"/>
      <c r="F134" s="851"/>
      <c r="G134" s="851"/>
      <c r="H134" s="852"/>
      <c r="I134" s="356" t="s">
        <v>91</v>
      </c>
      <c r="J134" s="226">
        <v>3.1694999999999993</v>
      </c>
      <c r="K134" s="227">
        <v>804034</v>
      </c>
      <c r="L134" s="228">
        <f t="shared" si="20"/>
        <v>2548385.7629999993</v>
      </c>
      <c r="M134" s="196"/>
      <c r="N134" s="357">
        <v>2.2514999983416959</v>
      </c>
      <c r="O134" s="179">
        <f t="shared" si="22"/>
        <v>1810282.55</v>
      </c>
      <c r="P134" s="249"/>
      <c r="Q134" s="358"/>
      <c r="R134" s="363">
        <f t="shared" si="23"/>
        <v>0</v>
      </c>
      <c r="S134" s="250"/>
      <c r="T134" s="234">
        <f t="shared" si="21"/>
        <v>2.2514999983416959</v>
      </c>
      <c r="U134" s="235">
        <f t="shared" si="24"/>
        <v>1810282.5496666671</v>
      </c>
      <c r="V134" s="822"/>
      <c r="W134" s="823"/>
      <c r="X134" s="201"/>
    </row>
    <row r="135" spans="2:27" s="190" customFormat="1" ht="15" customHeight="1">
      <c r="B135" s="356" t="s">
        <v>108</v>
      </c>
      <c r="C135" s="850" t="s">
        <v>191</v>
      </c>
      <c r="D135" s="851"/>
      <c r="E135" s="851"/>
      <c r="F135" s="851"/>
      <c r="G135" s="851"/>
      <c r="H135" s="852"/>
      <c r="I135" s="356" t="s">
        <v>91</v>
      </c>
      <c r="J135" s="226">
        <v>4.6665000000000001</v>
      </c>
      <c r="K135" s="227">
        <v>875931</v>
      </c>
      <c r="L135" s="228">
        <f t="shared" si="20"/>
        <v>4087532.0115</v>
      </c>
      <c r="M135" s="196"/>
      <c r="N135" s="357">
        <v>4.0590000011810092</v>
      </c>
      <c r="O135" s="179">
        <f t="shared" si="22"/>
        <v>3555403.93</v>
      </c>
      <c r="P135" s="249"/>
      <c r="Q135" s="358"/>
      <c r="R135" s="363">
        <f t="shared" si="23"/>
        <v>0</v>
      </c>
      <c r="S135" s="250"/>
      <c r="T135" s="234">
        <f t="shared" si="21"/>
        <v>4.0590000011810092</v>
      </c>
      <c r="U135" s="235">
        <f t="shared" si="24"/>
        <v>3555403.9300344824</v>
      </c>
      <c r="V135" s="822"/>
      <c r="W135" s="823"/>
      <c r="X135" s="201"/>
    </row>
    <row r="136" spans="2:27" s="190" customFormat="1" ht="15" customHeight="1">
      <c r="B136" s="356" t="s">
        <v>110</v>
      </c>
      <c r="C136" s="896" t="s">
        <v>192</v>
      </c>
      <c r="D136" s="897"/>
      <c r="E136" s="897"/>
      <c r="F136" s="897"/>
      <c r="G136" s="897"/>
      <c r="H136" s="898"/>
      <c r="I136" s="356" t="s">
        <v>91</v>
      </c>
      <c r="J136" s="226">
        <v>4.3817600000000008</v>
      </c>
      <c r="K136" s="227">
        <v>884610</v>
      </c>
      <c r="L136" s="228">
        <f t="shared" si="20"/>
        <v>3876148.7136000008</v>
      </c>
      <c r="M136" s="196"/>
      <c r="N136" s="357">
        <v>3.9992600015826185</v>
      </c>
      <c r="O136" s="179">
        <f t="shared" si="22"/>
        <v>3537785.39</v>
      </c>
      <c r="P136" s="249"/>
      <c r="Q136" s="358"/>
      <c r="R136" s="363">
        <f t="shared" si="23"/>
        <v>0</v>
      </c>
      <c r="S136" s="250"/>
      <c r="T136" s="234">
        <f t="shared" si="21"/>
        <v>3.9992600015826185</v>
      </c>
      <c r="U136" s="235">
        <f t="shared" si="24"/>
        <v>3537785.39</v>
      </c>
      <c r="V136" s="822"/>
      <c r="W136" s="823"/>
      <c r="X136" s="201"/>
    </row>
    <row r="137" spans="2:27" s="190" customFormat="1" ht="15" customHeight="1">
      <c r="B137" s="359" t="s">
        <v>193</v>
      </c>
      <c r="C137" s="893" t="s">
        <v>194</v>
      </c>
      <c r="D137" s="894"/>
      <c r="E137" s="894"/>
      <c r="F137" s="894"/>
      <c r="G137" s="894"/>
      <c r="H137" s="895"/>
      <c r="I137" s="360" t="s">
        <v>195</v>
      </c>
      <c r="J137" s="226">
        <v>17.594999999999999</v>
      </c>
      <c r="K137" s="227">
        <v>97830</v>
      </c>
      <c r="L137" s="228">
        <f t="shared" si="20"/>
        <v>1721318.8499999999</v>
      </c>
      <c r="M137" s="196"/>
      <c r="N137" s="357">
        <v>10.395</v>
      </c>
      <c r="O137" s="179">
        <f t="shared" si="22"/>
        <v>1016942.85</v>
      </c>
      <c r="P137" s="249"/>
      <c r="Q137" s="358"/>
      <c r="R137" s="363">
        <f t="shared" si="23"/>
        <v>0</v>
      </c>
      <c r="S137" s="250"/>
      <c r="T137" s="234">
        <f t="shared" si="21"/>
        <v>10.395</v>
      </c>
      <c r="U137" s="235">
        <f t="shared" si="24"/>
        <v>1016942.85</v>
      </c>
      <c r="V137" s="822"/>
      <c r="W137" s="823"/>
      <c r="X137" s="201"/>
    </row>
    <row r="138" spans="2:27" s="190" customFormat="1" ht="15" customHeight="1">
      <c r="B138" s="356" t="s">
        <v>196</v>
      </c>
      <c r="C138" s="850" t="s">
        <v>197</v>
      </c>
      <c r="D138" s="851"/>
      <c r="E138" s="851"/>
      <c r="F138" s="851"/>
      <c r="G138" s="851"/>
      <c r="H138" s="852"/>
      <c r="I138" s="356" t="s">
        <v>132</v>
      </c>
      <c r="J138" s="226">
        <v>37.839999999999996</v>
      </c>
      <c r="K138" s="227">
        <v>80141</v>
      </c>
      <c r="L138" s="228">
        <f t="shared" si="20"/>
        <v>3032535.4399999995</v>
      </c>
      <c r="M138" s="196"/>
      <c r="N138" s="357"/>
      <c r="O138" s="179">
        <f t="shared" si="22"/>
        <v>0</v>
      </c>
      <c r="P138" s="249"/>
      <c r="Q138" s="358"/>
      <c r="R138" s="363">
        <f t="shared" si="23"/>
        <v>0</v>
      </c>
      <c r="S138" s="250"/>
      <c r="T138" s="234">
        <f t="shared" si="21"/>
        <v>0</v>
      </c>
      <c r="U138" s="235">
        <f t="shared" si="24"/>
        <v>0</v>
      </c>
      <c r="V138" s="822"/>
      <c r="W138" s="823"/>
      <c r="X138" s="201"/>
    </row>
    <row r="139" spans="2:27" s="190" customFormat="1" ht="15" customHeight="1">
      <c r="B139" s="359" t="s">
        <v>198</v>
      </c>
      <c r="C139" s="850" t="s">
        <v>199</v>
      </c>
      <c r="D139" s="851"/>
      <c r="E139" s="851"/>
      <c r="F139" s="851"/>
      <c r="G139" s="851"/>
      <c r="H139" s="852"/>
      <c r="I139" s="364" t="s">
        <v>132</v>
      </c>
      <c r="J139" s="226">
        <v>12.76</v>
      </c>
      <c r="K139" s="227">
        <v>68820</v>
      </c>
      <c r="L139" s="228">
        <f t="shared" si="20"/>
        <v>878143.2</v>
      </c>
      <c r="M139" s="196"/>
      <c r="N139" s="357"/>
      <c r="O139" s="179">
        <f t="shared" si="22"/>
        <v>0</v>
      </c>
      <c r="P139" s="249"/>
      <c r="Q139" s="358"/>
      <c r="R139" s="363">
        <f t="shared" si="23"/>
        <v>0</v>
      </c>
      <c r="S139" s="250"/>
      <c r="T139" s="234">
        <f t="shared" si="21"/>
        <v>0</v>
      </c>
      <c r="U139" s="235">
        <f t="shared" si="24"/>
        <v>0</v>
      </c>
      <c r="V139" s="822"/>
      <c r="W139" s="823"/>
      <c r="X139" s="201"/>
    </row>
    <row r="140" spans="2:27" s="190" customFormat="1" ht="15" customHeight="1">
      <c r="B140" s="365" t="s">
        <v>200</v>
      </c>
      <c r="C140" s="902" t="s">
        <v>201</v>
      </c>
      <c r="D140" s="903"/>
      <c r="E140" s="903"/>
      <c r="F140" s="903"/>
      <c r="G140" s="903"/>
      <c r="H140" s="904"/>
      <c r="I140" s="366" t="s">
        <v>202</v>
      </c>
      <c r="J140" s="226">
        <v>2788.9170400000003</v>
      </c>
      <c r="K140" s="227">
        <v>6457</v>
      </c>
      <c r="L140" s="228">
        <f t="shared" si="20"/>
        <v>18008037.327280004</v>
      </c>
      <c r="M140" s="196"/>
      <c r="N140" s="358">
        <v>1200</v>
      </c>
      <c r="O140" s="179">
        <f t="shared" si="22"/>
        <v>7748400</v>
      </c>
      <c r="P140" s="249"/>
      <c r="Q140" s="358"/>
      <c r="R140" s="363">
        <f t="shared" si="23"/>
        <v>0</v>
      </c>
      <c r="S140" s="250"/>
      <c r="T140" s="234">
        <f t="shared" si="21"/>
        <v>1200</v>
      </c>
      <c r="U140" s="235">
        <f t="shared" si="24"/>
        <v>7748400</v>
      </c>
      <c r="V140" s="822"/>
      <c r="W140" s="823"/>
      <c r="X140" s="201"/>
    </row>
    <row r="141" spans="2:27" s="190" customFormat="1" ht="15" customHeight="1">
      <c r="B141" s="365" t="s">
        <v>97</v>
      </c>
      <c r="C141" s="902" t="s">
        <v>203</v>
      </c>
      <c r="D141" s="903" t="s">
        <v>203</v>
      </c>
      <c r="E141" s="903" t="s">
        <v>203</v>
      </c>
      <c r="F141" s="903" t="s">
        <v>203</v>
      </c>
      <c r="G141" s="903" t="s">
        <v>203</v>
      </c>
      <c r="H141" s="904" t="s">
        <v>203</v>
      </c>
      <c r="I141" s="366" t="s">
        <v>202</v>
      </c>
      <c r="J141" s="226">
        <v>1534.0998399999996</v>
      </c>
      <c r="K141" s="227">
        <v>6457</v>
      </c>
      <c r="L141" s="228">
        <f t="shared" si="20"/>
        <v>9905682.6668799985</v>
      </c>
      <c r="M141" s="196"/>
      <c r="N141" s="358">
        <v>950</v>
      </c>
      <c r="O141" s="179">
        <f t="shared" si="22"/>
        <v>6134150</v>
      </c>
      <c r="P141" s="249"/>
      <c r="Q141" s="358"/>
      <c r="R141" s="363">
        <f t="shared" si="23"/>
        <v>0</v>
      </c>
      <c r="S141" s="250"/>
      <c r="T141" s="234">
        <f t="shared" si="21"/>
        <v>950</v>
      </c>
      <c r="U141" s="235">
        <f t="shared" si="24"/>
        <v>6134150</v>
      </c>
      <c r="V141" s="822"/>
      <c r="W141" s="823"/>
      <c r="X141" s="201"/>
    </row>
    <row r="142" spans="2:27" s="190" customFormat="1" ht="31.5" customHeight="1">
      <c r="B142" s="359" t="s">
        <v>92</v>
      </c>
      <c r="C142" s="850" t="s">
        <v>93</v>
      </c>
      <c r="D142" s="851"/>
      <c r="E142" s="851"/>
      <c r="F142" s="851"/>
      <c r="G142" s="851"/>
      <c r="H142" s="852"/>
      <c r="I142" s="366" t="s">
        <v>91</v>
      </c>
      <c r="J142" s="226">
        <v>30.73</v>
      </c>
      <c r="K142" s="227">
        <v>11393</v>
      </c>
      <c r="L142" s="228">
        <f t="shared" si="20"/>
        <v>350106.89</v>
      </c>
      <c r="M142" s="196"/>
      <c r="N142" s="357">
        <v>30.73</v>
      </c>
      <c r="O142" s="179">
        <f t="shared" si="22"/>
        <v>350106.89</v>
      </c>
      <c r="P142" s="249"/>
      <c r="Q142" s="358"/>
      <c r="R142" s="363">
        <f t="shared" si="23"/>
        <v>0</v>
      </c>
      <c r="S142" s="250"/>
      <c r="T142" s="234">
        <f t="shared" si="21"/>
        <v>30.73</v>
      </c>
      <c r="U142" s="235">
        <f t="shared" si="24"/>
        <v>350106.89</v>
      </c>
      <c r="V142" s="822"/>
      <c r="W142" s="823"/>
      <c r="X142" s="201"/>
    </row>
    <row r="143" spans="2:27" s="190" customFormat="1" ht="24.75" customHeight="1">
      <c r="B143" s="359" t="s">
        <v>204</v>
      </c>
      <c r="C143" s="850" t="s">
        <v>205</v>
      </c>
      <c r="D143" s="851"/>
      <c r="E143" s="851"/>
      <c r="F143" s="851"/>
      <c r="G143" s="851"/>
      <c r="H143" s="852"/>
      <c r="I143" s="366" t="s">
        <v>91</v>
      </c>
      <c r="J143" s="226">
        <v>30.73</v>
      </c>
      <c r="K143" s="227">
        <v>43045</v>
      </c>
      <c r="L143" s="228">
        <f t="shared" si="20"/>
        <v>1322772.8500000001</v>
      </c>
      <c r="M143" s="196"/>
      <c r="N143" s="357">
        <v>30.727900104541757</v>
      </c>
      <c r="O143" s="179">
        <f t="shared" si="22"/>
        <v>1322682.46</v>
      </c>
      <c r="P143" s="249"/>
      <c r="Q143" s="358"/>
      <c r="R143" s="363">
        <f t="shared" si="23"/>
        <v>0</v>
      </c>
      <c r="S143" s="250"/>
      <c r="T143" s="234">
        <f t="shared" si="21"/>
        <v>30.727900104541757</v>
      </c>
      <c r="U143" s="235">
        <f t="shared" si="24"/>
        <v>1322682.46</v>
      </c>
      <c r="V143" s="822"/>
      <c r="W143" s="823"/>
      <c r="X143" s="201"/>
    </row>
    <row r="144" spans="2:27" s="190" customFormat="1" ht="15" customHeight="1">
      <c r="B144" s="367">
        <v>3</v>
      </c>
      <c r="C144" s="853" t="s">
        <v>114</v>
      </c>
      <c r="D144" s="854"/>
      <c r="E144" s="854"/>
      <c r="F144" s="854"/>
      <c r="G144" s="854"/>
      <c r="H144" s="855"/>
      <c r="I144" s="366"/>
      <c r="J144" s="226"/>
      <c r="K144" s="227"/>
      <c r="L144" s="228">
        <f t="shared" si="20"/>
        <v>0</v>
      </c>
      <c r="M144" s="196"/>
      <c r="N144" s="357"/>
      <c r="O144" s="179">
        <f t="shared" si="22"/>
        <v>0</v>
      </c>
      <c r="P144" s="249"/>
      <c r="Q144" s="358"/>
      <c r="R144" s="363">
        <f t="shared" si="23"/>
        <v>0</v>
      </c>
      <c r="S144" s="250"/>
      <c r="T144" s="234">
        <f t="shared" si="21"/>
        <v>0</v>
      </c>
      <c r="U144" s="235">
        <f t="shared" si="24"/>
        <v>0</v>
      </c>
      <c r="V144" s="822"/>
      <c r="W144" s="823"/>
      <c r="X144" s="201"/>
    </row>
    <row r="145" spans="2:24" s="190" customFormat="1" ht="15" customHeight="1">
      <c r="B145" s="359" t="s">
        <v>206</v>
      </c>
      <c r="C145" s="899" t="s">
        <v>207</v>
      </c>
      <c r="D145" s="900"/>
      <c r="E145" s="900"/>
      <c r="F145" s="900"/>
      <c r="G145" s="900"/>
      <c r="H145" s="901"/>
      <c r="I145" s="366" t="s">
        <v>71</v>
      </c>
      <c r="J145" s="226">
        <v>109.30510000000001</v>
      </c>
      <c r="K145" s="227">
        <v>96180</v>
      </c>
      <c r="L145" s="228">
        <f t="shared" si="20"/>
        <v>10512964.518000001</v>
      </c>
      <c r="M145" s="196"/>
      <c r="N145" s="357">
        <v>88.197750051985864</v>
      </c>
      <c r="O145" s="179">
        <f t="shared" si="22"/>
        <v>8482859.5999999996</v>
      </c>
      <c r="P145" s="249"/>
      <c r="Q145" s="358"/>
      <c r="R145" s="363">
        <f t="shared" si="23"/>
        <v>0</v>
      </c>
      <c r="S145" s="250"/>
      <c r="T145" s="234">
        <f t="shared" si="21"/>
        <v>88.197750051985864</v>
      </c>
      <c r="U145" s="235">
        <f t="shared" si="24"/>
        <v>8482859.5999999996</v>
      </c>
      <c r="V145" s="822"/>
      <c r="W145" s="823"/>
      <c r="X145" s="201"/>
    </row>
    <row r="146" spans="2:24" s="190" customFormat="1" ht="15" customHeight="1">
      <c r="B146" s="359" t="s">
        <v>117</v>
      </c>
      <c r="C146" s="899" t="s">
        <v>118</v>
      </c>
      <c r="D146" s="900"/>
      <c r="E146" s="900"/>
      <c r="F146" s="900"/>
      <c r="G146" s="900"/>
      <c r="H146" s="901"/>
      <c r="I146" s="366" t="s">
        <v>71</v>
      </c>
      <c r="J146" s="226">
        <v>77.97999999999999</v>
      </c>
      <c r="K146" s="227">
        <v>18419</v>
      </c>
      <c r="L146" s="228">
        <f t="shared" si="20"/>
        <v>1436313.6199999999</v>
      </c>
      <c r="M146" s="196"/>
      <c r="N146" s="357">
        <v>53.5</v>
      </c>
      <c r="O146" s="179">
        <f t="shared" si="22"/>
        <v>985416.5</v>
      </c>
      <c r="P146" s="249"/>
      <c r="Q146" s="358"/>
      <c r="R146" s="363">
        <f t="shared" si="23"/>
        <v>0</v>
      </c>
      <c r="S146" s="250"/>
      <c r="T146" s="234">
        <f t="shared" si="21"/>
        <v>53.5</v>
      </c>
      <c r="U146" s="235">
        <f t="shared" si="24"/>
        <v>985416.5</v>
      </c>
      <c r="V146" s="822"/>
      <c r="W146" s="823"/>
      <c r="X146" s="201"/>
    </row>
    <row r="147" spans="2:24" s="190" customFormat="1" ht="15" customHeight="1">
      <c r="B147" s="359" t="s">
        <v>208</v>
      </c>
      <c r="C147" s="899" t="s">
        <v>209</v>
      </c>
      <c r="D147" s="900"/>
      <c r="E147" s="900"/>
      <c r="F147" s="900"/>
      <c r="G147" s="900"/>
      <c r="H147" s="901"/>
      <c r="I147" s="366" t="s">
        <v>71</v>
      </c>
      <c r="J147" s="226">
        <v>17.234999999999999</v>
      </c>
      <c r="K147" s="227">
        <v>22197</v>
      </c>
      <c r="L147" s="228">
        <f t="shared" si="20"/>
        <v>382565.29499999998</v>
      </c>
      <c r="M147" s="196"/>
      <c r="N147" s="357"/>
      <c r="O147" s="179">
        <f t="shared" si="22"/>
        <v>0</v>
      </c>
      <c r="P147" s="249"/>
      <c r="Q147" s="358"/>
      <c r="R147" s="363">
        <f t="shared" si="23"/>
        <v>0</v>
      </c>
      <c r="S147" s="250"/>
      <c r="T147" s="234">
        <f t="shared" si="21"/>
        <v>0</v>
      </c>
      <c r="U147" s="235">
        <f t="shared" si="24"/>
        <v>0</v>
      </c>
      <c r="V147" s="822"/>
      <c r="W147" s="823"/>
      <c r="X147" s="201"/>
    </row>
    <row r="148" spans="2:24" s="190" customFormat="1" ht="15" customHeight="1">
      <c r="B148" s="359" t="s">
        <v>210</v>
      </c>
      <c r="C148" s="899" t="s">
        <v>211</v>
      </c>
      <c r="D148" s="900"/>
      <c r="E148" s="900"/>
      <c r="F148" s="900"/>
      <c r="G148" s="900"/>
      <c r="H148" s="901"/>
      <c r="I148" s="366" t="s">
        <v>71</v>
      </c>
      <c r="J148" s="226">
        <v>82.179999999999993</v>
      </c>
      <c r="K148" s="227">
        <v>74012</v>
      </c>
      <c r="L148" s="228">
        <f t="shared" si="20"/>
        <v>6082306.1599999992</v>
      </c>
      <c r="M148" s="196"/>
      <c r="N148" s="357"/>
      <c r="O148" s="179">
        <f t="shared" si="22"/>
        <v>0</v>
      </c>
      <c r="P148" s="249"/>
      <c r="Q148" s="358"/>
      <c r="R148" s="363">
        <f t="shared" si="23"/>
        <v>0</v>
      </c>
      <c r="S148" s="250"/>
      <c r="T148" s="234">
        <f t="shared" si="21"/>
        <v>0</v>
      </c>
      <c r="U148" s="235">
        <f t="shared" si="24"/>
        <v>0</v>
      </c>
      <c r="V148" s="822"/>
      <c r="W148" s="823"/>
      <c r="X148" s="201"/>
    </row>
    <row r="149" spans="2:24" s="190" customFormat="1" ht="15">
      <c r="B149" s="367">
        <v>4</v>
      </c>
      <c r="C149" s="853" t="s">
        <v>212</v>
      </c>
      <c r="D149" s="854"/>
      <c r="E149" s="854"/>
      <c r="F149" s="854"/>
      <c r="G149" s="854"/>
      <c r="H149" s="855"/>
      <c r="I149" s="366"/>
      <c r="J149" s="226"/>
      <c r="K149" s="227"/>
      <c r="L149" s="228">
        <f t="shared" si="20"/>
        <v>0</v>
      </c>
      <c r="M149" s="196"/>
      <c r="N149" s="357"/>
      <c r="O149" s="179">
        <f t="shared" si="22"/>
        <v>0</v>
      </c>
      <c r="P149" s="249"/>
      <c r="Q149" s="358"/>
      <c r="R149" s="363">
        <f t="shared" si="23"/>
        <v>0</v>
      </c>
      <c r="S149" s="250"/>
      <c r="T149" s="234">
        <f t="shared" si="21"/>
        <v>0</v>
      </c>
      <c r="U149" s="235">
        <f t="shared" si="24"/>
        <v>0</v>
      </c>
      <c r="V149" s="822"/>
      <c r="W149" s="823"/>
      <c r="X149" s="201"/>
    </row>
    <row r="150" spans="2:24" s="190" customFormat="1" ht="23.25" customHeight="1">
      <c r="B150" s="359" t="s">
        <v>150</v>
      </c>
      <c r="C150" s="905" t="s">
        <v>151</v>
      </c>
      <c r="D150" s="906"/>
      <c r="E150" s="906"/>
      <c r="F150" s="906"/>
      <c r="G150" s="906"/>
      <c r="H150" s="907"/>
      <c r="I150" s="366" t="s">
        <v>71</v>
      </c>
      <c r="J150" s="226">
        <v>92.19080000000001</v>
      </c>
      <c r="K150" s="227">
        <v>82258</v>
      </c>
      <c r="L150" s="228">
        <f t="shared" si="20"/>
        <v>7583430.8264000006</v>
      </c>
      <c r="M150" s="196"/>
      <c r="N150" s="357">
        <v>84.990800043764736</v>
      </c>
      <c r="O150" s="179">
        <f t="shared" si="22"/>
        <v>6991173.2300000004</v>
      </c>
      <c r="P150" s="249"/>
      <c r="Q150" s="358"/>
      <c r="R150" s="363">
        <f t="shared" si="23"/>
        <v>0</v>
      </c>
      <c r="S150" s="250"/>
      <c r="T150" s="234">
        <f t="shared" si="21"/>
        <v>84.990800043764736</v>
      </c>
      <c r="U150" s="235">
        <f t="shared" si="24"/>
        <v>6991173.2299999995</v>
      </c>
      <c r="V150" s="822"/>
      <c r="W150" s="823"/>
      <c r="X150" s="201"/>
    </row>
    <row r="151" spans="2:24" s="190" customFormat="1" ht="23.25" customHeight="1">
      <c r="B151" s="359" t="s">
        <v>213</v>
      </c>
      <c r="C151" s="905" t="s">
        <v>214</v>
      </c>
      <c r="D151" s="906"/>
      <c r="E151" s="906"/>
      <c r="F151" s="906"/>
      <c r="G151" s="906"/>
      <c r="H151" s="907"/>
      <c r="I151" s="366" t="s">
        <v>71</v>
      </c>
      <c r="J151" s="226">
        <f>[14]PRESUPUESTO!$E$30</f>
        <v>240.16500000000002</v>
      </c>
      <c r="K151" s="227">
        <v>8006</v>
      </c>
      <c r="L151" s="228">
        <f t="shared" si="20"/>
        <v>1922760.9900000002</v>
      </c>
      <c r="M151" s="196"/>
      <c r="N151" s="357"/>
      <c r="O151" s="179">
        <f t="shared" si="22"/>
        <v>0</v>
      </c>
      <c r="P151" s="249"/>
      <c r="Q151" s="358"/>
      <c r="R151" s="363">
        <f t="shared" si="23"/>
        <v>0</v>
      </c>
      <c r="S151" s="250"/>
      <c r="T151" s="234">
        <f t="shared" si="21"/>
        <v>0</v>
      </c>
      <c r="U151" s="235">
        <f t="shared" si="24"/>
        <v>0</v>
      </c>
      <c r="V151" s="822"/>
      <c r="W151" s="823"/>
      <c r="X151" s="201"/>
    </row>
    <row r="152" spans="2:24" s="190" customFormat="1" ht="23.25" customHeight="1">
      <c r="B152" s="359" t="s">
        <v>154</v>
      </c>
      <c r="C152" s="905" t="s">
        <v>155</v>
      </c>
      <c r="D152" s="906"/>
      <c r="E152" s="906"/>
      <c r="F152" s="906"/>
      <c r="G152" s="906"/>
      <c r="H152" s="907"/>
      <c r="I152" s="366" t="s">
        <v>91</v>
      </c>
      <c r="J152" s="226">
        <v>59.25</v>
      </c>
      <c r="K152" s="227">
        <v>53106</v>
      </c>
      <c r="L152" s="228">
        <f t="shared" si="20"/>
        <v>3146530.5</v>
      </c>
      <c r="M152" s="196"/>
      <c r="N152" s="357"/>
      <c r="O152" s="179">
        <f t="shared" si="22"/>
        <v>0</v>
      </c>
      <c r="P152" s="249"/>
      <c r="Q152" s="358"/>
      <c r="R152" s="363">
        <f t="shared" si="23"/>
        <v>0</v>
      </c>
      <c r="S152" s="250"/>
      <c r="T152" s="234">
        <f t="shared" si="21"/>
        <v>0</v>
      </c>
      <c r="U152" s="235">
        <f t="shared" si="24"/>
        <v>0</v>
      </c>
      <c r="V152" s="822"/>
      <c r="W152" s="823"/>
      <c r="X152" s="201"/>
    </row>
    <row r="153" spans="2:24" s="190" customFormat="1" ht="23.25" customHeight="1">
      <c r="B153" s="359" t="s">
        <v>210</v>
      </c>
      <c r="C153" s="905" t="s">
        <v>211</v>
      </c>
      <c r="D153" s="906"/>
      <c r="E153" s="906"/>
      <c r="F153" s="906"/>
      <c r="G153" s="906"/>
      <c r="H153" s="907"/>
      <c r="I153" s="366" t="s">
        <v>71</v>
      </c>
      <c r="J153" s="226">
        <v>20.150000000000002</v>
      </c>
      <c r="K153" s="227">
        <v>74196</v>
      </c>
      <c r="L153" s="228">
        <f t="shared" si="20"/>
        <v>1495049.4000000001</v>
      </c>
      <c r="M153" s="196"/>
      <c r="N153" s="357"/>
      <c r="O153" s="179">
        <f t="shared" si="22"/>
        <v>0</v>
      </c>
      <c r="P153" s="249"/>
      <c r="Q153" s="358"/>
      <c r="R153" s="363"/>
      <c r="S153" s="250"/>
      <c r="T153" s="234"/>
      <c r="U153" s="235"/>
      <c r="V153" s="822"/>
      <c r="W153" s="823"/>
      <c r="X153" s="201"/>
    </row>
    <row r="154" spans="2:24" s="190" customFormat="1" ht="15">
      <c r="B154" s="367">
        <v>5</v>
      </c>
      <c r="C154" s="853" t="s">
        <v>215</v>
      </c>
      <c r="D154" s="854"/>
      <c r="E154" s="854"/>
      <c r="F154" s="854"/>
      <c r="G154" s="854"/>
      <c r="H154" s="855"/>
      <c r="I154" s="366"/>
      <c r="J154" s="226"/>
      <c r="K154" s="227"/>
      <c r="L154" s="228">
        <f t="shared" si="20"/>
        <v>0</v>
      </c>
      <c r="M154" s="196"/>
      <c r="N154" s="357"/>
      <c r="O154" s="179">
        <f t="shared" si="22"/>
        <v>0</v>
      </c>
      <c r="P154" s="249"/>
      <c r="Q154" s="358"/>
      <c r="R154" s="363">
        <f t="shared" si="23"/>
        <v>0</v>
      </c>
      <c r="S154" s="250"/>
      <c r="T154" s="234">
        <f t="shared" si="21"/>
        <v>0</v>
      </c>
      <c r="U154" s="235">
        <f t="shared" si="24"/>
        <v>0</v>
      </c>
      <c r="V154" s="822"/>
      <c r="W154" s="823"/>
      <c r="X154" s="201"/>
    </row>
    <row r="155" spans="2:24" s="190" customFormat="1" ht="56.25" customHeight="1">
      <c r="B155" s="359" t="s">
        <v>126</v>
      </c>
      <c r="C155" s="899" t="s">
        <v>127</v>
      </c>
      <c r="D155" s="900"/>
      <c r="E155" s="900"/>
      <c r="F155" s="900"/>
      <c r="G155" s="900"/>
      <c r="H155" s="901"/>
      <c r="I155" s="366" t="s">
        <v>99</v>
      </c>
      <c r="J155" s="226">
        <v>753.1386</v>
      </c>
      <c r="K155" s="227">
        <v>11372</v>
      </c>
      <c r="L155" s="228">
        <f t="shared" si="20"/>
        <v>8564692.1591999996</v>
      </c>
      <c r="M155" s="196"/>
      <c r="N155" s="357"/>
      <c r="O155" s="179">
        <f t="shared" si="22"/>
        <v>0</v>
      </c>
      <c r="P155" s="249"/>
      <c r="Q155" s="358"/>
      <c r="R155" s="363">
        <f t="shared" si="23"/>
        <v>0</v>
      </c>
      <c r="S155" s="250"/>
      <c r="T155" s="234">
        <f t="shared" si="21"/>
        <v>0</v>
      </c>
      <c r="U155" s="235">
        <f t="shared" si="24"/>
        <v>0</v>
      </c>
      <c r="V155" s="822"/>
      <c r="W155" s="823"/>
      <c r="X155" s="201"/>
    </row>
    <row r="156" spans="2:24" s="190" customFormat="1" ht="41.25" customHeight="1">
      <c r="B156" s="359" t="s">
        <v>128</v>
      </c>
      <c r="C156" s="899" t="s">
        <v>129</v>
      </c>
      <c r="D156" s="900"/>
      <c r="E156" s="900"/>
      <c r="F156" s="900"/>
      <c r="G156" s="900"/>
      <c r="H156" s="901"/>
      <c r="I156" s="366" t="s">
        <v>71</v>
      </c>
      <c r="J156" s="226">
        <v>93.33250000000001</v>
      </c>
      <c r="K156" s="227">
        <v>82081</v>
      </c>
      <c r="L156" s="228">
        <f t="shared" si="20"/>
        <v>7660824.932500001</v>
      </c>
      <c r="M156" s="196"/>
      <c r="N156" s="357"/>
      <c r="O156" s="179">
        <f t="shared" si="22"/>
        <v>0</v>
      </c>
      <c r="P156" s="249"/>
      <c r="Q156" s="358"/>
      <c r="R156" s="363">
        <f t="shared" si="23"/>
        <v>0</v>
      </c>
      <c r="S156" s="250"/>
      <c r="T156" s="234">
        <f t="shared" si="21"/>
        <v>0</v>
      </c>
      <c r="U156" s="235">
        <f t="shared" si="24"/>
        <v>0</v>
      </c>
      <c r="V156" s="822"/>
      <c r="W156" s="823"/>
      <c r="X156" s="201"/>
    </row>
    <row r="157" spans="2:24" s="190" customFormat="1" ht="15">
      <c r="B157" s="367">
        <v>6</v>
      </c>
      <c r="C157" s="853" t="s">
        <v>216</v>
      </c>
      <c r="D157" s="854"/>
      <c r="E157" s="854"/>
      <c r="F157" s="854"/>
      <c r="G157" s="854"/>
      <c r="H157" s="855"/>
      <c r="I157" s="366"/>
      <c r="J157" s="226"/>
      <c r="K157" s="227"/>
      <c r="L157" s="228">
        <f t="shared" si="20"/>
        <v>0</v>
      </c>
      <c r="M157" s="196"/>
      <c r="N157" s="357"/>
      <c r="O157" s="179">
        <f t="shared" si="22"/>
        <v>0</v>
      </c>
      <c r="P157" s="249"/>
      <c r="Q157" s="358"/>
      <c r="R157" s="363">
        <f t="shared" si="23"/>
        <v>0</v>
      </c>
      <c r="S157" s="250"/>
      <c r="T157" s="234">
        <f t="shared" si="21"/>
        <v>0</v>
      </c>
      <c r="U157" s="235">
        <f t="shared" si="24"/>
        <v>0</v>
      </c>
      <c r="V157" s="822"/>
      <c r="W157" s="823"/>
      <c r="X157" s="201"/>
    </row>
    <row r="158" spans="2:24" s="190" customFormat="1" ht="26.25" customHeight="1">
      <c r="B158" s="359" t="s">
        <v>217</v>
      </c>
      <c r="C158" s="850" t="s">
        <v>218</v>
      </c>
      <c r="D158" s="851"/>
      <c r="E158" s="851"/>
      <c r="F158" s="851"/>
      <c r="G158" s="851"/>
      <c r="H158" s="852"/>
      <c r="I158" s="366" t="s">
        <v>132</v>
      </c>
      <c r="J158" s="226">
        <v>18.64</v>
      </c>
      <c r="K158" s="227">
        <v>98041</v>
      </c>
      <c r="L158" s="228">
        <f t="shared" si="20"/>
        <v>1827484.24</v>
      </c>
      <c r="M158" s="196"/>
      <c r="N158" s="357"/>
      <c r="O158" s="179">
        <f t="shared" si="22"/>
        <v>0</v>
      </c>
      <c r="P158" s="249"/>
      <c r="Q158" s="358"/>
      <c r="R158" s="363">
        <f t="shared" si="23"/>
        <v>0</v>
      </c>
      <c r="S158" s="250"/>
      <c r="T158" s="234">
        <f t="shared" si="21"/>
        <v>0</v>
      </c>
      <c r="U158" s="235">
        <f t="shared" si="24"/>
        <v>0</v>
      </c>
      <c r="V158" s="822"/>
      <c r="W158" s="823"/>
      <c r="X158" s="201"/>
    </row>
    <row r="159" spans="2:24" s="190" customFormat="1" ht="15" customHeight="1">
      <c r="B159" s="359" t="s">
        <v>147</v>
      </c>
      <c r="C159" s="850" t="s">
        <v>148</v>
      </c>
      <c r="D159" s="851"/>
      <c r="E159" s="851"/>
      <c r="F159" s="851"/>
      <c r="G159" s="851"/>
      <c r="H159" s="852"/>
      <c r="I159" s="366" t="s">
        <v>132</v>
      </c>
      <c r="J159" s="226">
        <v>16.799999999999997</v>
      </c>
      <c r="K159" s="227">
        <v>43105</v>
      </c>
      <c r="L159" s="228">
        <f t="shared" si="20"/>
        <v>724163.99999999988</v>
      </c>
      <c r="M159" s="196"/>
      <c r="N159" s="357"/>
      <c r="O159" s="179">
        <f t="shared" si="22"/>
        <v>0</v>
      </c>
      <c r="P159" s="249"/>
      <c r="Q159" s="358"/>
      <c r="R159" s="363">
        <f t="shared" si="23"/>
        <v>0</v>
      </c>
      <c r="S159" s="250"/>
      <c r="T159" s="234">
        <f t="shared" si="21"/>
        <v>0</v>
      </c>
      <c r="U159" s="235">
        <f t="shared" si="24"/>
        <v>0</v>
      </c>
      <c r="V159" s="822"/>
      <c r="W159" s="823"/>
      <c r="X159" s="201"/>
    </row>
    <row r="160" spans="2:24" s="190" customFormat="1" ht="15" customHeight="1">
      <c r="B160" s="359" t="s">
        <v>219</v>
      </c>
      <c r="C160" s="850" t="s">
        <v>220</v>
      </c>
      <c r="D160" s="851"/>
      <c r="E160" s="851"/>
      <c r="F160" s="851"/>
      <c r="G160" s="851"/>
      <c r="H160" s="852"/>
      <c r="I160" s="366" t="s">
        <v>79</v>
      </c>
      <c r="J160" s="226">
        <v>4</v>
      </c>
      <c r="K160" s="227">
        <v>98256</v>
      </c>
      <c r="L160" s="228">
        <f t="shared" si="20"/>
        <v>393024</v>
      </c>
      <c r="M160" s="196"/>
      <c r="N160" s="357"/>
      <c r="O160" s="179">
        <f t="shared" si="22"/>
        <v>0</v>
      </c>
      <c r="P160" s="249"/>
      <c r="Q160" s="358"/>
      <c r="R160" s="363">
        <f t="shared" si="23"/>
        <v>0</v>
      </c>
      <c r="S160" s="250"/>
      <c r="T160" s="234">
        <f t="shared" si="21"/>
        <v>0</v>
      </c>
      <c r="U160" s="235">
        <f t="shared" si="24"/>
        <v>0</v>
      </c>
      <c r="V160" s="822"/>
      <c r="W160" s="823"/>
      <c r="X160" s="201"/>
    </row>
    <row r="161" spans="2:24" s="190" customFormat="1" ht="15">
      <c r="B161" s="367">
        <v>7</v>
      </c>
      <c r="C161" s="853" t="s">
        <v>221</v>
      </c>
      <c r="D161" s="854"/>
      <c r="E161" s="854"/>
      <c r="F161" s="854"/>
      <c r="G161" s="854"/>
      <c r="H161" s="855"/>
      <c r="I161" s="366"/>
      <c r="J161" s="226"/>
      <c r="K161" s="227"/>
      <c r="L161" s="228">
        <f t="shared" si="20"/>
        <v>0</v>
      </c>
      <c r="M161" s="196"/>
      <c r="N161" s="357"/>
      <c r="O161" s="179">
        <f t="shared" si="22"/>
        <v>0</v>
      </c>
      <c r="P161" s="249"/>
      <c r="Q161" s="358"/>
      <c r="R161" s="363">
        <f t="shared" si="23"/>
        <v>0</v>
      </c>
      <c r="S161" s="250"/>
      <c r="T161" s="234">
        <f t="shared" si="21"/>
        <v>0</v>
      </c>
      <c r="U161" s="235">
        <f t="shared" si="24"/>
        <v>0</v>
      </c>
      <c r="V161" s="822"/>
      <c r="W161" s="823"/>
      <c r="X161" s="201"/>
    </row>
    <row r="162" spans="2:24" s="190" customFormat="1" ht="15" customHeight="1">
      <c r="B162" s="359" t="s">
        <v>88</v>
      </c>
      <c r="C162" s="850" t="s">
        <v>89</v>
      </c>
      <c r="D162" s="851"/>
      <c r="E162" s="851"/>
      <c r="F162" s="851"/>
      <c r="G162" s="851"/>
      <c r="H162" s="852"/>
      <c r="I162" s="366" t="s">
        <v>91</v>
      </c>
      <c r="J162" s="226">
        <v>9.42</v>
      </c>
      <c r="K162" s="227">
        <v>48450</v>
      </c>
      <c r="L162" s="228">
        <f t="shared" si="20"/>
        <v>456399</v>
      </c>
      <c r="M162" s="196"/>
      <c r="N162" s="357">
        <v>9.42</v>
      </c>
      <c r="O162" s="179">
        <f t="shared" si="22"/>
        <v>456399</v>
      </c>
      <c r="P162" s="249"/>
      <c r="Q162" s="358"/>
      <c r="R162" s="363">
        <f t="shared" si="23"/>
        <v>0</v>
      </c>
      <c r="S162" s="250"/>
      <c r="T162" s="316">
        <f t="shared" si="21"/>
        <v>9.42</v>
      </c>
      <c r="U162" s="235">
        <f t="shared" si="24"/>
        <v>456399</v>
      </c>
      <c r="V162" s="822"/>
      <c r="W162" s="823"/>
      <c r="X162" s="201"/>
    </row>
    <row r="163" spans="2:24" s="190" customFormat="1" ht="15" customHeight="1">
      <c r="B163" s="359" t="s">
        <v>222</v>
      </c>
      <c r="C163" s="850" t="s">
        <v>223</v>
      </c>
      <c r="D163" s="851"/>
      <c r="E163" s="851"/>
      <c r="F163" s="851"/>
      <c r="G163" s="851"/>
      <c r="H163" s="852"/>
      <c r="I163" s="366" t="s">
        <v>132</v>
      </c>
      <c r="J163" s="226">
        <v>45</v>
      </c>
      <c r="K163" s="227">
        <v>53560</v>
      </c>
      <c r="L163" s="228">
        <f t="shared" si="20"/>
        <v>2410200</v>
      </c>
      <c r="M163" s="196"/>
      <c r="N163" s="357">
        <v>45</v>
      </c>
      <c r="O163" s="179">
        <f t="shared" si="22"/>
        <v>2410200</v>
      </c>
      <c r="P163" s="249"/>
      <c r="Q163" s="358"/>
      <c r="R163" s="363">
        <f t="shared" si="23"/>
        <v>0</v>
      </c>
      <c r="S163" s="250"/>
      <c r="T163" s="316">
        <f t="shared" si="21"/>
        <v>45</v>
      </c>
      <c r="U163" s="235">
        <f t="shared" si="24"/>
        <v>2410200</v>
      </c>
      <c r="V163" s="822"/>
      <c r="W163" s="823"/>
      <c r="X163" s="201"/>
    </row>
    <row r="164" spans="2:24" s="190" customFormat="1" ht="15" customHeight="1">
      <c r="B164" s="359" t="s">
        <v>224</v>
      </c>
      <c r="C164" s="850" t="s">
        <v>225</v>
      </c>
      <c r="D164" s="851"/>
      <c r="E164" s="851"/>
      <c r="F164" s="851"/>
      <c r="G164" s="851"/>
      <c r="H164" s="852"/>
      <c r="I164" s="366" t="s">
        <v>132</v>
      </c>
      <c r="J164" s="226">
        <v>12</v>
      </c>
      <c r="K164" s="227">
        <v>29412</v>
      </c>
      <c r="L164" s="228">
        <f t="shared" si="20"/>
        <v>352944</v>
      </c>
      <c r="M164" s="196"/>
      <c r="N164" s="357">
        <v>12</v>
      </c>
      <c r="O164" s="179">
        <f t="shared" si="22"/>
        <v>352944</v>
      </c>
      <c r="P164" s="249"/>
      <c r="Q164" s="358"/>
      <c r="R164" s="363">
        <f t="shared" si="23"/>
        <v>0</v>
      </c>
      <c r="S164" s="250"/>
      <c r="T164" s="316">
        <f t="shared" si="21"/>
        <v>12</v>
      </c>
      <c r="U164" s="235">
        <f t="shared" si="24"/>
        <v>352944</v>
      </c>
      <c r="V164" s="822"/>
      <c r="W164" s="823"/>
      <c r="X164" s="201"/>
    </row>
    <row r="165" spans="2:24" s="190" customFormat="1" ht="15" customHeight="1">
      <c r="B165" s="359" t="s">
        <v>226</v>
      </c>
      <c r="C165" s="899" t="s">
        <v>227</v>
      </c>
      <c r="D165" s="900"/>
      <c r="E165" s="900"/>
      <c r="F165" s="900"/>
      <c r="G165" s="900"/>
      <c r="H165" s="901"/>
      <c r="I165" s="366" t="s">
        <v>79</v>
      </c>
      <c r="J165" s="226">
        <v>5</v>
      </c>
      <c r="K165" s="227">
        <v>71514</v>
      </c>
      <c r="L165" s="228">
        <f t="shared" si="20"/>
        <v>357570</v>
      </c>
      <c r="M165" s="196"/>
      <c r="N165" s="357">
        <v>5</v>
      </c>
      <c r="O165" s="179">
        <f t="shared" si="22"/>
        <v>357570</v>
      </c>
      <c r="P165" s="249"/>
      <c r="Q165" s="358"/>
      <c r="R165" s="363">
        <f t="shared" si="23"/>
        <v>0</v>
      </c>
      <c r="S165" s="250"/>
      <c r="T165" s="316">
        <f t="shared" si="21"/>
        <v>5</v>
      </c>
      <c r="U165" s="235">
        <f t="shared" si="24"/>
        <v>357570</v>
      </c>
      <c r="V165" s="822"/>
      <c r="W165" s="823"/>
      <c r="X165" s="201"/>
    </row>
    <row r="166" spans="2:24" s="190" customFormat="1" ht="15" customHeight="1">
      <c r="B166" s="359" t="s">
        <v>228</v>
      </c>
      <c r="C166" s="850" t="s">
        <v>229</v>
      </c>
      <c r="D166" s="851"/>
      <c r="E166" s="851"/>
      <c r="F166" s="851"/>
      <c r="G166" s="851"/>
      <c r="H166" s="852"/>
      <c r="I166" s="366" t="s">
        <v>132</v>
      </c>
      <c r="J166" s="226">
        <v>50</v>
      </c>
      <c r="K166" s="227">
        <v>26208</v>
      </c>
      <c r="L166" s="228">
        <f t="shared" si="20"/>
        <v>1310400</v>
      </c>
      <c r="M166" s="196"/>
      <c r="N166" s="357"/>
      <c r="O166" s="179">
        <f t="shared" si="22"/>
        <v>0</v>
      </c>
      <c r="P166" s="249"/>
      <c r="Q166" s="358"/>
      <c r="R166" s="363">
        <f t="shared" si="23"/>
        <v>0</v>
      </c>
      <c r="S166" s="250"/>
      <c r="T166" s="316">
        <f t="shared" si="21"/>
        <v>0</v>
      </c>
      <c r="U166" s="235">
        <f t="shared" si="24"/>
        <v>0</v>
      </c>
      <c r="V166" s="822"/>
      <c r="W166" s="823"/>
      <c r="X166" s="201"/>
    </row>
    <row r="167" spans="2:24" s="190" customFormat="1" ht="15" customHeight="1">
      <c r="B167" s="359" t="s">
        <v>230</v>
      </c>
      <c r="C167" s="850" t="s">
        <v>231</v>
      </c>
      <c r="D167" s="851"/>
      <c r="E167" s="851"/>
      <c r="F167" s="851"/>
      <c r="G167" s="851"/>
      <c r="H167" s="852"/>
      <c r="I167" s="368" t="s">
        <v>79</v>
      </c>
      <c r="J167" s="226">
        <v>10</v>
      </c>
      <c r="K167" s="227">
        <v>61343</v>
      </c>
      <c r="L167" s="228">
        <f t="shared" si="20"/>
        <v>613430</v>
      </c>
      <c r="M167" s="196"/>
      <c r="N167" s="357">
        <v>5</v>
      </c>
      <c r="O167" s="179">
        <f t="shared" si="22"/>
        <v>306715</v>
      </c>
      <c r="P167" s="249"/>
      <c r="Q167" s="358"/>
      <c r="R167" s="363">
        <f t="shared" si="23"/>
        <v>0</v>
      </c>
      <c r="S167" s="250"/>
      <c r="T167" s="316">
        <f t="shared" si="21"/>
        <v>5</v>
      </c>
      <c r="U167" s="235">
        <f t="shared" si="24"/>
        <v>306715</v>
      </c>
      <c r="V167" s="822"/>
      <c r="W167" s="823"/>
      <c r="X167" s="201"/>
    </row>
    <row r="168" spans="2:24" s="190" customFormat="1" ht="15" customHeight="1">
      <c r="B168" s="359" t="s">
        <v>232</v>
      </c>
      <c r="C168" s="893" t="s">
        <v>233</v>
      </c>
      <c r="D168" s="894"/>
      <c r="E168" s="894"/>
      <c r="F168" s="894"/>
      <c r="G168" s="894"/>
      <c r="H168" s="895"/>
      <c r="I168" s="359" t="s">
        <v>234</v>
      </c>
      <c r="J168" s="226">
        <v>2</v>
      </c>
      <c r="K168" s="227">
        <v>123149</v>
      </c>
      <c r="L168" s="228">
        <f t="shared" si="20"/>
        <v>246298</v>
      </c>
      <c r="M168" s="196"/>
      <c r="N168" s="357"/>
      <c r="O168" s="179">
        <f t="shared" si="22"/>
        <v>0</v>
      </c>
      <c r="P168" s="249"/>
      <c r="Q168" s="358"/>
      <c r="R168" s="363">
        <f t="shared" si="23"/>
        <v>0</v>
      </c>
      <c r="S168" s="250"/>
      <c r="T168" s="316">
        <f t="shared" si="21"/>
        <v>0</v>
      </c>
      <c r="U168" s="235">
        <f t="shared" si="24"/>
        <v>0</v>
      </c>
      <c r="V168" s="822"/>
      <c r="W168" s="823"/>
      <c r="X168" s="201"/>
    </row>
    <row r="169" spans="2:24" s="190" customFormat="1" ht="28.5" customHeight="1">
      <c r="B169" s="365" t="s">
        <v>235</v>
      </c>
      <c r="C169" s="832" t="s">
        <v>236</v>
      </c>
      <c r="D169" s="833"/>
      <c r="E169" s="833"/>
      <c r="F169" s="833"/>
      <c r="G169" s="833"/>
      <c r="H169" s="834"/>
      <c r="I169" s="365" t="s">
        <v>79</v>
      </c>
      <c r="J169" s="226">
        <v>2</v>
      </c>
      <c r="K169" s="227">
        <v>485705</v>
      </c>
      <c r="L169" s="228">
        <f t="shared" si="20"/>
        <v>971410</v>
      </c>
      <c r="M169" s="196"/>
      <c r="N169" s="357">
        <v>2</v>
      </c>
      <c r="O169" s="179">
        <f t="shared" si="22"/>
        <v>971410</v>
      </c>
      <c r="P169" s="249"/>
      <c r="Q169" s="358"/>
      <c r="R169" s="363">
        <f t="shared" si="23"/>
        <v>0</v>
      </c>
      <c r="S169" s="250"/>
      <c r="T169" s="316">
        <f t="shared" si="21"/>
        <v>2</v>
      </c>
      <c r="U169" s="235">
        <f t="shared" si="24"/>
        <v>971410</v>
      </c>
      <c r="V169" s="822"/>
      <c r="W169" s="823"/>
      <c r="X169" s="201"/>
    </row>
    <row r="170" spans="2:24" s="190" customFormat="1" ht="25.5" customHeight="1">
      <c r="B170" s="365" t="s">
        <v>237</v>
      </c>
      <c r="C170" s="850" t="s">
        <v>238</v>
      </c>
      <c r="D170" s="851"/>
      <c r="E170" s="851"/>
      <c r="F170" s="851"/>
      <c r="G170" s="851"/>
      <c r="H170" s="852"/>
      <c r="I170" s="365" t="s">
        <v>79</v>
      </c>
      <c r="J170" s="226">
        <v>1</v>
      </c>
      <c r="K170" s="227">
        <v>670243</v>
      </c>
      <c r="L170" s="228">
        <f t="shared" si="20"/>
        <v>670243</v>
      </c>
      <c r="M170" s="196"/>
      <c r="N170" s="357"/>
      <c r="O170" s="179">
        <f t="shared" si="22"/>
        <v>0</v>
      </c>
      <c r="P170" s="249"/>
      <c r="Q170" s="358"/>
      <c r="R170" s="363">
        <f t="shared" si="23"/>
        <v>0</v>
      </c>
      <c r="S170" s="250"/>
      <c r="T170" s="316">
        <f t="shared" si="21"/>
        <v>0</v>
      </c>
      <c r="U170" s="235">
        <f t="shared" si="24"/>
        <v>0</v>
      </c>
      <c r="V170" s="822"/>
      <c r="W170" s="823"/>
      <c r="X170" s="201"/>
    </row>
    <row r="171" spans="2:24" s="190" customFormat="1" ht="15" customHeight="1">
      <c r="B171" s="365" t="s">
        <v>239</v>
      </c>
      <c r="C171" s="850" t="s">
        <v>240</v>
      </c>
      <c r="D171" s="851"/>
      <c r="E171" s="851"/>
      <c r="F171" s="851"/>
      <c r="G171" s="851"/>
      <c r="H171" s="852"/>
      <c r="I171" s="365" t="s">
        <v>79</v>
      </c>
      <c r="J171" s="226">
        <v>1</v>
      </c>
      <c r="K171" s="227">
        <v>3995311</v>
      </c>
      <c r="L171" s="228">
        <f t="shared" si="20"/>
        <v>3995311</v>
      </c>
      <c r="M171" s="196"/>
      <c r="N171" s="357">
        <v>1</v>
      </c>
      <c r="O171" s="179">
        <f t="shared" si="22"/>
        <v>3995311</v>
      </c>
      <c r="P171" s="249"/>
      <c r="Q171" s="358"/>
      <c r="R171" s="363">
        <f t="shared" si="23"/>
        <v>0</v>
      </c>
      <c r="S171" s="250"/>
      <c r="T171" s="234">
        <f t="shared" si="21"/>
        <v>1</v>
      </c>
      <c r="U171" s="235">
        <f t="shared" si="24"/>
        <v>3995311</v>
      </c>
      <c r="V171" s="822"/>
      <c r="W171" s="823"/>
      <c r="X171" s="201"/>
    </row>
    <row r="172" spans="2:24" s="190" customFormat="1" ht="15">
      <c r="B172" s="367">
        <v>8</v>
      </c>
      <c r="C172" s="908" t="s">
        <v>241</v>
      </c>
      <c r="D172" s="909"/>
      <c r="E172" s="909"/>
      <c r="F172" s="909"/>
      <c r="G172" s="909"/>
      <c r="H172" s="910"/>
      <c r="I172" s="369"/>
      <c r="J172" s="226"/>
      <c r="K172" s="227"/>
      <c r="L172" s="228">
        <f t="shared" si="20"/>
        <v>0</v>
      </c>
      <c r="M172" s="196"/>
      <c r="N172" s="357"/>
      <c r="O172" s="179">
        <f t="shared" si="22"/>
        <v>0</v>
      </c>
      <c r="P172" s="249"/>
      <c r="Q172" s="358"/>
      <c r="R172" s="363">
        <f t="shared" si="23"/>
        <v>0</v>
      </c>
      <c r="S172" s="250"/>
      <c r="T172" s="234">
        <f t="shared" si="21"/>
        <v>0</v>
      </c>
      <c r="U172" s="235">
        <f t="shared" si="24"/>
        <v>0</v>
      </c>
      <c r="V172" s="822"/>
      <c r="W172" s="823"/>
      <c r="X172" s="201"/>
    </row>
    <row r="173" spans="2:24" s="190" customFormat="1" ht="32.25" customHeight="1">
      <c r="B173" s="365" t="s">
        <v>134</v>
      </c>
      <c r="C173" s="850" t="s">
        <v>135</v>
      </c>
      <c r="D173" s="851"/>
      <c r="E173" s="851"/>
      <c r="F173" s="851"/>
      <c r="G173" s="851"/>
      <c r="H173" s="852"/>
      <c r="I173" s="365" t="s">
        <v>234</v>
      </c>
      <c r="J173" s="226">
        <v>1</v>
      </c>
      <c r="K173" s="227">
        <v>389505</v>
      </c>
      <c r="L173" s="228">
        <f t="shared" si="20"/>
        <v>389505</v>
      </c>
      <c r="M173" s="196"/>
      <c r="N173" s="357"/>
      <c r="O173" s="179">
        <f t="shared" si="22"/>
        <v>0</v>
      </c>
      <c r="P173" s="249"/>
      <c r="Q173" s="358"/>
      <c r="R173" s="363">
        <f t="shared" si="23"/>
        <v>0</v>
      </c>
      <c r="S173" s="250"/>
      <c r="T173" s="234">
        <f t="shared" si="21"/>
        <v>0</v>
      </c>
      <c r="U173" s="235">
        <f t="shared" si="24"/>
        <v>0</v>
      </c>
      <c r="V173" s="822"/>
      <c r="W173" s="823"/>
      <c r="X173" s="201"/>
    </row>
    <row r="174" spans="2:24" s="190" customFormat="1" ht="15" customHeight="1">
      <c r="B174" s="365" t="s">
        <v>140</v>
      </c>
      <c r="C174" s="850" t="s">
        <v>141</v>
      </c>
      <c r="D174" s="851"/>
      <c r="E174" s="851"/>
      <c r="F174" s="851"/>
      <c r="G174" s="851"/>
      <c r="H174" s="852"/>
      <c r="I174" s="365" t="s">
        <v>234</v>
      </c>
      <c r="J174" s="226">
        <v>9</v>
      </c>
      <c r="K174" s="227">
        <v>102246</v>
      </c>
      <c r="L174" s="228">
        <f t="shared" si="20"/>
        <v>920214</v>
      </c>
      <c r="M174" s="196"/>
      <c r="N174" s="357"/>
      <c r="O174" s="179">
        <f t="shared" si="22"/>
        <v>0</v>
      </c>
      <c r="P174" s="249"/>
      <c r="Q174" s="358"/>
      <c r="R174" s="363">
        <f t="shared" si="23"/>
        <v>0</v>
      </c>
      <c r="S174" s="250"/>
      <c r="T174" s="234">
        <f t="shared" si="21"/>
        <v>0</v>
      </c>
      <c r="U174" s="235">
        <f t="shared" si="24"/>
        <v>0</v>
      </c>
      <c r="V174" s="822"/>
      <c r="W174" s="823"/>
      <c r="X174" s="201"/>
    </row>
    <row r="175" spans="2:24" s="190" customFormat="1" ht="15" customHeight="1">
      <c r="B175" s="365" t="s">
        <v>136</v>
      </c>
      <c r="C175" s="850" t="s">
        <v>137</v>
      </c>
      <c r="D175" s="851"/>
      <c r="E175" s="851"/>
      <c r="F175" s="851"/>
      <c r="G175" s="851"/>
      <c r="H175" s="852"/>
      <c r="I175" s="365" t="s">
        <v>79</v>
      </c>
      <c r="J175" s="226">
        <v>4</v>
      </c>
      <c r="K175" s="227">
        <v>112028</v>
      </c>
      <c r="L175" s="228">
        <f t="shared" si="20"/>
        <v>448112</v>
      </c>
      <c r="M175" s="196"/>
      <c r="N175" s="357"/>
      <c r="O175" s="179">
        <f t="shared" si="22"/>
        <v>0</v>
      </c>
      <c r="P175" s="249"/>
      <c r="Q175" s="358"/>
      <c r="R175" s="363">
        <f t="shared" si="23"/>
        <v>0</v>
      </c>
      <c r="S175" s="250"/>
      <c r="T175" s="234">
        <f t="shared" si="21"/>
        <v>0</v>
      </c>
      <c r="U175" s="235">
        <f t="shared" si="24"/>
        <v>0</v>
      </c>
      <c r="V175" s="822"/>
      <c r="W175" s="823"/>
      <c r="X175" s="201"/>
    </row>
    <row r="176" spans="2:24" s="190" customFormat="1" ht="15" customHeight="1">
      <c r="B176" s="365" t="s">
        <v>242</v>
      </c>
      <c r="C176" s="850" t="s">
        <v>243</v>
      </c>
      <c r="D176" s="851"/>
      <c r="E176" s="851"/>
      <c r="F176" s="851"/>
      <c r="G176" s="851"/>
      <c r="H176" s="852"/>
      <c r="I176" s="365" t="s">
        <v>79</v>
      </c>
      <c r="J176" s="226">
        <v>5</v>
      </c>
      <c r="K176" s="227">
        <v>98013</v>
      </c>
      <c r="L176" s="228">
        <f t="shared" si="20"/>
        <v>490065</v>
      </c>
      <c r="M176" s="196"/>
      <c r="N176" s="357"/>
      <c r="O176" s="179">
        <f t="shared" si="22"/>
        <v>0</v>
      </c>
      <c r="P176" s="249"/>
      <c r="Q176" s="358"/>
      <c r="R176" s="363">
        <f t="shared" si="23"/>
        <v>0</v>
      </c>
      <c r="S176" s="250"/>
      <c r="T176" s="234">
        <f t="shared" si="21"/>
        <v>0</v>
      </c>
      <c r="U176" s="235">
        <f t="shared" si="24"/>
        <v>0</v>
      </c>
      <c r="V176" s="822"/>
      <c r="W176" s="823"/>
      <c r="X176" s="201"/>
    </row>
    <row r="177" spans="1:27" s="190" customFormat="1" ht="15" customHeight="1">
      <c r="B177" s="365" t="s">
        <v>138</v>
      </c>
      <c r="C177" s="850" t="s">
        <v>139</v>
      </c>
      <c r="D177" s="851"/>
      <c r="E177" s="851"/>
      <c r="F177" s="851"/>
      <c r="G177" s="851"/>
      <c r="H177" s="852"/>
      <c r="I177" s="365" t="s">
        <v>234</v>
      </c>
      <c r="J177" s="226">
        <v>13</v>
      </c>
      <c r="K177" s="227">
        <v>115242</v>
      </c>
      <c r="L177" s="228">
        <f t="shared" si="20"/>
        <v>1498146</v>
      </c>
      <c r="M177" s="196"/>
      <c r="N177" s="357"/>
      <c r="O177" s="179">
        <f t="shared" si="22"/>
        <v>0</v>
      </c>
      <c r="P177" s="249"/>
      <c r="Q177" s="358"/>
      <c r="R177" s="363">
        <f t="shared" si="23"/>
        <v>0</v>
      </c>
      <c r="S177" s="250"/>
      <c r="T177" s="234">
        <f t="shared" si="21"/>
        <v>0</v>
      </c>
      <c r="U177" s="235">
        <f t="shared" si="24"/>
        <v>0</v>
      </c>
      <c r="V177" s="822"/>
      <c r="W177" s="823"/>
      <c r="X177" s="201"/>
    </row>
    <row r="178" spans="1:27" s="190" customFormat="1" ht="63.75" customHeight="1">
      <c r="B178" s="359" t="s">
        <v>142</v>
      </c>
      <c r="C178" s="893" t="s">
        <v>143</v>
      </c>
      <c r="D178" s="894"/>
      <c r="E178" s="894"/>
      <c r="F178" s="894"/>
      <c r="G178" s="894"/>
      <c r="H178" s="895"/>
      <c r="I178" s="369"/>
      <c r="J178" s="226">
        <v>13</v>
      </c>
      <c r="K178" s="227">
        <v>237008</v>
      </c>
      <c r="L178" s="228">
        <f t="shared" si="20"/>
        <v>3081104</v>
      </c>
      <c r="M178" s="196"/>
      <c r="N178" s="357"/>
      <c r="O178" s="179">
        <f t="shared" si="22"/>
        <v>0</v>
      </c>
      <c r="P178" s="249"/>
      <c r="Q178" s="358"/>
      <c r="R178" s="363">
        <f t="shared" si="23"/>
        <v>0</v>
      </c>
      <c r="S178" s="250"/>
      <c r="T178" s="234">
        <f t="shared" si="21"/>
        <v>0</v>
      </c>
      <c r="U178" s="235">
        <f t="shared" si="24"/>
        <v>0</v>
      </c>
      <c r="V178" s="822"/>
      <c r="W178" s="823"/>
      <c r="X178" s="201"/>
    </row>
    <row r="179" spans="1:27" s="190" customFormat="1" ht="15" customHeight="1">
      <c r="B179" s="365" t="s">
        <v>244</v>
      </c>
      <c r="C179" s="850" t="s">
        <v>245</v>
      </c>
      <c r="D179" s="851"/>
      <c r="E179" s="851"/>
      <c r="F179" s="851"/>
      <c r="G179" s="851"/>
      <c r="H179" s="852"/>
      <c r="I179" s="365" t="s">
        <v>132</v>
      </c>
      <c r="J179" s="226">
        <v>65.254863827252265</v>
      </c>
      <c r="K179" s="227">
        <v>17604</v>
      </c>
      <c r="L179" s="228">
        <f t="shared" si="20"/>
        <v>1148746.6228149489</v>
      </c>
      <c r="M179" s="196"/>
      <c r="N179" s="357"/>
      <c r="O179" s="179">
        <f t="shared" si="22"/>
        <v>0</v>
      </c>
      <c r="P179" s="249"/>
      <c r="Q179" s="358"/>
      <c r="R179" s="363">
        <f t="shared" si="23"/>
        <v>0</v>
      </c>
      <c r="S179" s="250"/>
      <c r="T179" s="234">
        <f t="shared" si="21"/>
        <v>0</v>
      </c>
      <c r="U179" s="235">
        <f t="shared" si="24"/>
        <v>0</v>
      </c>
      <c r="V179" s="822"/>
      <c r="W179" s="823"/>
      <c r="X179" s="201"/>
    </row>
    <row r="180" spans="1:27" s="190" customFormat="1" ht="15" customHeight="1">
      <c r="B180" s="365" t="s">
        <v>246</v>
      </c>
      <c r="C180" s="850" t="s">
        <v>247</v>
      </c>
      <c r="D180" s="851"/>
      <c r="E180" s="851"/>
      <c r="F180" s="851"/>
      <c r="G180" s="851"/>
      <c r="H180" s="852"/>
      <c r="I180" s="365" t="s">
        <v>79</v>
      </c>
      <c r="J180" s="226">
        <v>1</v>
      </c>
      <c r="K180" s="227">
        <v>1142729</v>
      </c>
      <c r="L180" s="228">
        <f t="shared" si="20"/>
        <v>1142729</v>
      </c>
      <c r="M180" s="196"/>
      <c r="N180" s="357"/>
      <c r="O180" s="179">
        <f t="shared" si="22"/>
        <v>0</v>
      </c>
      <c r="P180" s="249"/>
      <c r="Q180" s="358"/>
      <c r="R180" s="363">
        <f t="shared" si="23"/>
        <v>0</v>
      </c>
      <c r="S180" s="250"/>
      <c r="T180" s="234">
        <f t="shared" si="21"/>
        <v>0</v>
      </c>
      <c r="U180" s="235">
        <f t="shared" si="24"/>
        <v>0</v>
      </c>
      <c r="V180" s="822"/>
      <c r="W180" s="823"/>
      <c r="X180" s="201"/>
    </row>
    <row r="181" spans="1:27" s="190" customFormat="1" ht="15">
      <c r="B181" s="370">
        <v>9</v>
      </c>
      <c r="C181" s="908" t="s">
        <v>248</v>
      </c>
      <c r="D181" s="909"/>
      <c r="E181" s="909"/>
      <c r="F181" s="909"/>
      <c r="G181" s="909"/>
      <c r="H181" s="910"/>
      <c r="K181" s="371"/>
      <c r="L181" s="228">
        <f t="shared" si="20"/>
        <v>0</v>
      </c>
      <c r="M181" s="196"/>
      <c r="N181" s="357"/>
      <c r="O181" s="179">
        <f t="shared" si="22"/>
        <v>0</v>
      </c>
      <c r="P181" s="249"/>
      <c r="Q181" s="358"/>
      <c r="R181" s="363">
        <f t="shared" si="23"/>
        <v>0</v>
      </c>
      <c r="S181" s="250"/>
      <c r="T181" s="234">
        <f t="shared" si="21"/>
        <v>0</v>
      </c>
      <c r="U181" s="235">
        <f t="shared" si="24"/>
        <v>0</v>
      </c>
      <c r="V181" s="822"/>
      <c r="W181" s="823"/>
      <c r="X181" s="201"/>
    </row>
    <row r="182" spans="1:27" s="190" customFormat="1" ht="15" customHeight="1">
      <c r="B182" s="359" t="s">
        <v>249</v>
      </c>
      <c r="C182" s="893" t="s">
        <v>250</v>
      </c>
      <c r="D182" s="894"/>
      <c r="E182" s="894"/>
      <c r="F182" s="894"/>
      <c r="G182" s="894"/>
      <c r="H182" s="895"/>
      <c r="I182" s="372" t="s">
        <v>71</v>
      </c>
      <c r="J182" s="226">
        <v>19.2</v>
      </c>
      <c r="K182" s="227">
        <v>245196</v>
      </c>
      <c r="L182" s="228">
        <f t="shared" si="20"/>
        <v>4707763.2</v>
      </c>
      <c r="M182" s="196"/>
      <c r="N182" s="357"/>
      <c r="O182" s="179">
        <f t="shared" si="22"/>
        <v>0</v>
      </c>
      <c r="P182" s="249"/>
      <c r="Q182" s="358"/>
      <c r="R182" s="363">
        <f t="shared" si="23"/>
        <v>0</v>
      </c>
      <c r="S182" s="250"/>
      <c r="T182" s="234">
        <f t="shared" si="21"/>
        <v>0</v>
      </c>
      <c r="U182" s="235">
        <f t="shared" si="24"/>
        <v>0</v>
      </c>
      <c r="V182" s="822"/>
      <c r="W182" s="823"/>
      <c r="X182" s="201"/>
    </row>
    <row r="183" spans="1:27" s="190" customFormat="1" ht="15" customHeight="1">
      <c r="B183" s="365" t="s">
        <v>166</v>
      </c>
      <c r="C183" s="893" t="s">
        <v>167</v>
      </c>
      <c r="D183" s="894"/>
      <c r="E183" s="894"/>
      <c r="F183" s="894"/>
      <c r="G183" s="894"/>
      <c r="H183" s="895"/>
      <c r="I183" s="373" t="s">
        <v>71</v>
      </c>
      <c r="J183" s="226">
        <v>19.2</v>
      </c>
      <c r="K183" s="227">
        <v>113214</v>
      </c>
      <c r="L183" s="228">
        <f t="shared" si="20"/>
        <v>2173708.7999999998</v>
      </c>
      <c r="M183" s="196"/>
      <c r="N183" s="357"/>
      <c r="O183" s="179">
        <f t="shared" si="22"/>
        <v>0</v>
      </c>
      <c r="P183" s="249"/>
      <c r="Q183" s="358"/>
      <c r="R183" s="363">
        <f t="shared" si="23"/>
        <v>0</v>
      </c>
      <c r="S183" s="250"/>
      <c r="T183" s="234">
        <f t="shared" si="21"/>
        <v>0</v>
      </c>
      <c r="U183" s="235">
        <f t="shared" si="24"/>
        <v>0</v>
      </c>
      <c r="V183" s="822"/>
      <c r="W183" s="823"/>
      <c r="X183" s="201"/>
    </row>
    <row r="184" spans="1:27" s="190" customFormat="1" ht="30.75" customHeight="1">
      <c r="B184" s="365" t="s">
        <v>162</v>
      </c>
      <c r="C184" s="850" t="s">
        <v>163</v>
      </c>
      <c r="D184" s="851"/>
      <c r="E184" s="851"/>
      <c r="F184" s="851"/>
      <c r="G184" s="851"/>
      <c r="H184" s="852"/>
      <c r="I184" s="356" t="s">
        <v>71</v>
      </c>
      <c r="J184" s="226">
        <v>13.3</v>
      </c>
      <c r="K184" s="227">
        <v>422186</v>
      </c>
      <c r="L184" s="228">
        <f t="shared" si="20"/>
        <v>5615073.8000000007</v>
      </c>
      <c r="M184" s="196"/>
      <c r="N184" s="357"/>
      <c r="O184" s="179">
        <f t="shared" si="22"/>
        <v>0</v>
      </c>
      <c r="P184" s="249"/>
      <c r="Q184" s="358"/>
      <c r="R184" s="363">
        <f t="shared" si="23"/>
        <v>0</v>
      </c>
      <c r="S184" s="250"/>
      <c r="T184" s="234">
        <f t="shared" si="21"/>
        <v>0</v>
      </c>
      <c r="U184" s="235">
        <f t="shared" si="24"/>
        <v>0</v>
      </c>
      <c r="V184" s="822"/>
      <c r="W184" s="823"/>
      <c r="X184" s="201"/>
    </row>
    <row r="185" spans="1:27" s="190" customFormat="1" ht="15" customHeight="1">
      <c r="B185" s="365" t="s">
        <v>159</v>
      </c>
      <c r="C185" s="911" t="s">
        <v>160</v>
      </c>
      <c r="D185" s="912"/>
      <c r="E185" s="912"/>
      <c r="F185" s="912"/>
      <c r="G185" s="912"/>
      <c r="H185" s="913"/>
      <c r="I185" s="356" t="s">
        <v>71</v>
      </c>
      <c r="J185" s="226">
        <v>51.7</v>
      </c>
      <c r="K185" s="264">
        <v>18312</v>
      </c>
      <c r="L185" s="228">
        <f t="shared" si="20"/>
        <v>946730.4</v>
      </c>
      <c r="M185" s="196"/>
      <c r="N185" s="357"/>
      <c r="O185" s="179">
        <f t="shared" si="22"/>
        <v>0</v>
      </c>
      <c r="P185" s="249"/>
      <c r="Q185" s="358"/>
      <c r="R185" s="363">
        <f t="shared" si="23"/>
        <v>0</v>
      </c>
      <c r="S185" s="249"/>
      <c r="T185" s="234">
        <f t="shared" si="21"/>
        <v>0</v>
      </c>
      <c r="U185" s="235">
        <f t="shared" si="24"/>
        <v>0</v>
      </c>
      <c r="V185" s="822"/>
      <c r="W185" s="823"/>
      <c r="X185" s="201"/>
    </row>
    <row r="186" spans="1:27" s="190" customFormat="1" ht="15">
      <c r="B186" s="370">
        <v>10</v>
      </c>
      <c r="C186" s="914" t="s">
        <v>251</v>
      </c>
      <c r="D186" s="915"/>
      <c r="E186" s="915"/>
      <c r="F186" s="915"/>
      <c r="G186" s="915"/>
      <c r="H186" s="916"/>
      <c r="I186" s="356"/>
      <c r="J186" s="226"/>
      <c r="K186" s="227"/>
      <c r="L186" s="228">
        <f t="shared" si="20"/>
        <v>0</v>
      </c>
      <c r="M186" s="196"/>
      <c r="N186" s="357"/>
      <c r="O186" s="179">
        <f t="shared" si="22"/>
        <v>0</v>
      </c>
      <c r="P186" s="249"/>
      <c r="Q186" s="358"/>
      <c r="R186" s="363">
        <f t="shared" si="23"/>
        <v>0</v>
      </c>
      <c r="S186" s="249"/>
      <c r="T186" s="234">
        <f t="shared" si="21"/>
        <v>0</v>
      </c>
      <c r="U186" s="235">
        <f t="shared" si="24"/>
        <v>0</v>
      </c>
      <c r="V186" s="822"/>
      <c r="W186" s="823"/>
      <c r="X186" s="201"/>
    </row>
    <row r="187" spans="1:27" s="190" customFormat="1" ht="15">
      <c r="B187" s="365" t="s">
        <v>170</v>
      </c>
      <c r="C187" s="850" t="s">
        <v>252</v>
      </c>
      <c r="D187" s="851"/>
      <c r="E187" s="851"/>
      <c r="F187" s="851"/>
      <c r="G187" s="851"/>
      <c r="H187" s="852"/>
      <c r="I187" s="365" t="s">
        <v>71</v>
      </c>
      <c r="J187" s="226">
        <v>87.4</v>
      </c>
      <c r="K187" s="227">
        <v>2741</v>
      </c>
      <c r="L187" s="228">
        <f t="shared" si="20"/>
        <v>239563.40000000002</v>
      </c>
      <c r="M187" s="196"/>
      <c r="N187" s="357"/>
      <c r="O187" s="179">
        <f t="shared" si="22"/>
        <v>0</v>
      </c>
      <c r="P187" s="249"/>
      <c r="Q187" s="358"/>
      <c r="R187" s="363">
        <f t="shared" si="23"/>
        <v>0</v>
      </c>
      <c r="S187" s="249"/>
      <c r="T187" s="234">
        <f t="shared" si="21"/>
        <v>0</v>
      </c>
      <c r="U187" s="235">
        <f t="shared" si="24"/>
        <v>0</v>
      </c>
      <c r="V187" s="822"/>
      <c r="W187" s="823"/>
      <c r="X187" s="201"/>
    </row>
    <row r="188" spans="1:27" s="190" customFormat="1" ht="15">
      <c r="B188" s="370">
        <v>11</v>
      </c>
      <c r="C188" s="853" t="s">
        <v>172</v>
      </c>
      <c r="D188" s="854"/>
      <c r="E188" s="854"/>
      <c r="F188" s="854"/>
      <c r="G188" s="854"/>
      <c r="H188" s="855"/>
      <c r="I188" s="365"/>
      <c r="J188" s="226"/>
      <c r="K188" s="227"/>
      <c r="L188" s="228">
        <f t="shared" si="20"/>
        <v>0</v>
      </c>
      <c r="M188" s="196"/>
      <c r="N188" s="357"/>
      <c r="O188" s="179">
        <f t="shared" si="22"/>
        <v>0</v>
      </c>
      <c r="P188" s="249"/>
      <c r="Q188" s="358"/>
      <c r="R188" s="363">
        <f t="shared" si="23"/>
        <v>0</v>
      </c>
      <c r="S188" s="249"/>
      <c r="T188" s="234">
        <f t="shared" si="21"/>
        <v>0</v>
      </c>
      <c r="U188" s="235">
        <f t="shared" si="24"/>
        <v>0</v>
      </c>
      <c r="V188" s="822"/>
      <c r="W188" s="823"/>
      <c r="X188" s="201"/>
    </row>
    <row r="189" spans="1:27" s="190" customFormat="1" ht="15" customHeight="1">
      <c r="B189" s="359" t="s">
        <v>173</v>
      </c>
      <c r="C189" s="893" t="s">
        <v>174</v>
      </c>
      <c r="D189" s="894"/>
      <c r="E189" s="894"/>
      <c r="F189" s="894"/>
      <c r="G189" s="894"/>
      <c r="H189" s="895"/>
      <c r="I189" s="373" t="s">
        <v>175</v>
      </c>
      <c r="J189" s="226">
        <v>6666.85</v>
      </c>
      <c r="K189" s="374">
        <v>3812</v>
      </c>
      <c r="L189" s="228">
        <f t="shared" si="20"/>
        <v>25414032.200000003</v>
      </c>
      <c r="M189" s="196"/>
      <c r="N189" s="357">
        <v>2166.85</v>
      </c>
      <c r="O189" s="179">
        <f t="shared" si="22"/>
        <v>8260032.2000000002</v>
      </c>
      <c r="P189" s="249"/>
      <c r="Q189" s="358">
        <v>3500</v>
      </c>
      <c r="R189" s="179">
        <f t="shared" si="23"/>
        <v>13342000</v>
      </c>
      <c r="S189" s="249"/>
      <c r="T189" s="234">
        <f t="shared" si="21"/>
        <v>5666.85</v>
      </c>
      <c r="U189" s="235">
        <f t="shared" si="24"/>
        <v>21602032.200000003</v>
      </c>
      <c r="V189" s="822"/>
      <c r="W189" s="823"/>
      <c r="X189" s="201"/>
      <c r="AA189" s="375"/>
    </row>
    <row r="190" spans="1:27" s="190" customFormat="1" ht="15" customHeight="1">
      <c r="B190" s="365" t="s">
        <v>176</v>
      </c>
      <c r="C190" s="899" t="s">
        <v>177</v>
      </c>
      <c r="D190" s="900"/>
      <c r="E190" s="900"/>
      <c r="F190" s="900"/>
      <c r="G190" s="900"/>
      <c r="H190" s="901"/>
      <c r="I190" s="365" t="s">
        <v>253</v>
      </c>
      <c r="J190" s="226">
        <v>12585.08</v>
      </c>
      <c r="K190" s="374">
        <v>5764</v>
      </c>
      <c r="L190" s="228">
        <f t="shared" ref="L190" si="26">K190*J190</f>
        <v>72540401.120000005</v>
      </c>
      <c r="M190" s="196"/>
      <c r="N190" s="357">
        <v>3598.3762456627342</v>
      </c>
      <c r="O190" s="179">
        <f t="shared" si="22"/>
        <v>20741040.68</v>
      </c>
      <c r="P190" s="249"/>
      <c r="Q190" s="358">
        <v>6986.7037538841496</v>
      </c>
      <c r="R190" s="179">
        <f t="shared" si="23"/>
        <v>40271360.437388241</v>
      </c>
      <c r="S190" s="249"/>
      <c r="T190" s="234">
        <f t="shared" si="21"/>
        <v>10585.079999546884</v>
      </c>
      <c r="U190" s="235">
        <f t="shared" si="24"/>
        <v>61012401.117388241</v>
      </c>
      <c r="V190" s="822"/>
      <c r="W190" s="823"/>
      <c r="X190" s="201"/>
      <c r="AA190" s="375"/>
    </row>
    <row r="191" spans="1:27" s="190" customFormat="1" ht="15">
      <c r="A191" s="150"/>
      <c r="B191" s="280"/>
      <c r="C191" s="376" t="s">
        <v>254</v>
      </c>
      <c r="D191" s="376"/>
      <c r="E191" s="376"/>
      <c r="F191" s="376"/>
      <c r="G191" s="376"/>
      <c r="H191" s="377"/>
      <c r="I191" s="281"/>
      <c r="J191" s="282"/>
      <c r="K191" s="378"/>
      <c r="L191" s="379">
        <f>SUM(L126:L190)</f>
        <v>239278545.63</v>
      </c>
      <c r="M191" s="196"/>
      <c r="N191" s="380"/>
      <c r="O191" s="381">
        <f>SUM(O127:O190)-0.01</f>
        <v>81302594.100000009</v>
      </c>
      <c r="P191" s="249"/>
      <c r="Q191" s="382"/>
      <c r="R191" s="381">
        <f>SUM(R127:R190)</f>
        <v>61774556.527388245</v>
      </c>
      <c r="S191" s="249"/>
      <c r="T191" s="383">
        <f>+N191+Q191</f>
        <v>0</v>
      </c>
      <c r="U191" s="381">
        <f>+SUM(U127:U190)</f>
        <v>143077150.63680023</v>
      </c>
      <c r="V191" s="822"/>
      <c r="W191" s="823"/>
      <c r="X191" s="384"/>
    </row>
    <row r="192" spans="1:27" s="190" customFormat="1" ht="28.5" customHeight="1">
      <c r="A192" s="150"/>
      <c r="B192" s="385"/>
      <c r="C192" s="386"/>
      <c r="D192" s="386"/>
      <c r="E192" s="386"/>
      <c r="F192" s="386"/>
      <c r="G192" s="386"/>
      <c r="H192" s="386"/>
      <c r="I192" s="204"/>
      <c r="J192" s="205"/>
      <c r="K192" s="387"/>
      <c r="L192" s="388"/>
      <c r="M192" s="196"/>
      <c r="N192" s="389"/>
      <c r="O192" s="390"/>
      <c r="P192" s="249"/>
      <c r="Q192" s="391"/>
      <c r="R192" s="390"/>
      <c r="S192" s="249"/>
      <c r="T192" s="392"/>
      <c r="U192" s="390"/>
      <c r="V192" s="334"/>
      <c r="W192" s="334"/>
      <c r="X192" s="393"/>
    </row>
    <row r="193" spans="1:27" s="190" customFormat="1" ht="18.75">
      <c r="B193" s="394">
        <v>3</v>
      </c>
      <c r="C193" s="917" t="s">
        <v>255</v>
      </c>
      <c r="D193" s="918"/>
      <c r="E193" s="918"/>
      <c r="F193" s="918"/>
      <c r="G193" s="918"/>
      <c r="H193" s="918"/>
      <c r="I193" s="918"/>
      <c r="J193" s="918"/>
      <c r="K193" s="918"/>
      <c r="L193" s="919"/>
      <c r="M193" s="196"/>
      <c r="N193" s="867" t="s">
        <v>62</v>
      </c>
      <c r="O193" s="868"/>
      <c r="P193" s="249"/>
      <c r="Q193" s="792" t="s">
        <v>63</v>
      </c>
      <c r="R193" s="793"/>
      <c r="S193" s="250"/>
      <c r="T193" s="869" t="s">
        <v>64</v>
      </c>
      <c r="U193" s="870"/>
      <c r="V193" s="870"/>
      <c r="W193" s="871"/>
      <c r="X193" s="201"/>
    </row>
    <row r="194" spans="1:27" s="190" customFormat="1" ht="18.75" customHeight="1">
      <c r="B194" s="164"/>
      <c r="C194" s="813" t="s">
        <v>65</v>
      </c>
      <c r="D194" s="814"/>
      <c r="E194" s="814"/>
      <c r="F194" s="814"/>
      <c r="G194" s="814"/>
      <c r="H194" s="815"/>
      <c r="I194" s="165"/>
      <c r="J194" s="166"/>
      <c r="K194" s="167"/>
      <c r="L194" s="168"/>
      <c r="M194" s="196"/>
      <c r="N194" s="302" t="s">
        <v>66</v>
      </c>
      <c r="O194" s="303" t="s">
        <v>67</v>
      </c>
      <c r="P194" s="245"/>
      <c r="Q194" s="304" t="s">
        <v>66</v>
      </c>
      <c r="R194" s="303" t="s">
        <v>67</v>
      </c>
      <c r="S194" s="245"/>
      <c r="T194" s="302" t="s">
        <v>66</v>
      </c>
      <c r="U194" s="303" t="s">
        <v>68</v>
      </c>
      <c r="V194" s="885" t="s">
        <v>69</v>
      </c>
      <c r="W194" s="886"/>
      <c r="X194" s="201"/>
    </row>
    <row r="195" spans="1:27" s="190" customFormat="1" ht="19.5" customHeight="1">
      <c r="B195" s="173">
        <v>1</v>
      </c>
      <c r="C195" s="929" t="s">
        <v>70</v>
      </c>
      <c r="D195" s="930"/>
      <c r="E195" s="930"/>
      <c r="F195" s="930"/>
      <c r="G195" s="930"/>
      <c r="H195" s="931"/>
      <c r="I195" s="174" t="s">
        <v>71</v>
      </c>
      <c r="J195" s="175">
        <f>J204</f>
        <v>87.36</v>
      </c>
      <c r="K195" s="176">
        <f>26865/1.19</f>
        <v>22575.63025210084</v>
      </c>
      <c r="L195" s="228">
        <f>J195*K195</f>
        <v>1972207.0588235294</v>
      </c>
      <c r="M195" s="171"/>
      <c r="N195" s="395"/>
      <c r="O195" s="396">
        <f>N195*K195</f>
        <v>0</v>
      </c>
      <c r="P195" s="249"/>
      <c r="Q195" s="397">
        <v>87.36</v>
      </c>
      <c r="R195" s="398">
        <f>Q195*K195</f>
        <v>1972207.0588235294</v>
      </c>
      <c r="S195" s="249"/>
      <c r="T195" s="395">
        <f>Q195+N195</f>
        <v>87.36</v>
      </c>
      <c r="U195" s="396">
        <f>T195*K195</f>
        <v>1972207.0588235294</v>
      </c>
      <c r="V195" s="311"/>
      <c r="W195" s="312"/>
      <c r="X195" s="201"/>
    </row>
    <row r="196" spans="1:27" s="190" customFormat="1" ht="19.5" customHeight="1">
      <c r="B196" s="173">
        <v>2</v>
      </c>
      <c r="C196" s="929" t="s">
        <v>180</v>
      </c>
      <c r="D196" s="930"/>
      <c r="E196" s="930"/>
      <c r="F196" s="930"/>
      <c r="G196" s="930"/>
      <c r="H196" s="931"/>
      <c r="I196" s="174" t="s">
        <v>71</v>
      </c>
      <c r="J196" s="175">
        <v>87.36</v>
      </c>
      <c r="K196" s="176">
        <f>20653/1.19</f>
        <v>17355.462184873952</v>
      </c>
      <c r="L196" s="228">
        <f t="shared" ref="L196:L199" si="27">J196*K196</f>
        <v>1516173.1764705884</v>
      </c>
      <c r="M196" s="171"/>
      <c r="N196" s="395">
        <v>87.36</v>
      </c>
      <c r="O196" s="179">
        <f t="shared" ref="O196:O198" si="28">N196*K196</f>
        <v>1516173.1764705884</v>
      </c>
      <c r="P196" s="249"/>
      <c r="Q196" s="397"/>
      <c r="R196" s="399">
        <f t="shared" ref="R196:R199" si="29">Q196*K196</f>
        <v>0</v>
      </c>
      <c r="S196" s="249"/>
      <c r="T196" s="395">
        <f t="shared" ref="T196:T199" si="30">Q196+N196</f>
        <v>87.36</v>
      </c>
      <c r="U196" s="396">
        <f t="shared" ref="U196:U199" si="31">T196*K196</f>
        <v>1516173.1764705884</v>
      </c>
      <c r="V196" s="311"/>
      <c r="W196" s="312"/>
      <c r="X196" s="201"/>
    </row>
    <row r="197" spans="1:27" s="190" customFormat="1" ht="19.5" customHeight="1">
      <c r="B197" s="173">
        <v>3</v>
      </c>
      <c r="C197" s="932" t="s">
        <v>73</v>
      </c>
      <c r="D197" s="933"/>
      <c r="E197" s="933"/>
      <c r="F197" s="933"/>
      <c r="G197" s="933"/>
      <c r="H197" s="934"/>
      <c r="I197" s="186" t="s">
        <v>71</v>
      </c>
      <c r="J197" s="175">
        <v>87.36</v>
      </c>
      <c r="K197" s="176">
        <f>8683/1.19</f>
        <v>7296.6386554621849</v>
      </c>
      <c r="L197" s="228">
        <f t="shared" si="27"/>
        <v>637434.3529411765</v>
      </c>
      <c r="M197" s="171"/>
      <c r="N197" s="395">
        <v>87.36</v>
      </c>
      <c r="O197" s="179">
        <f t="shared" si="28"/>
        <v>637434.3529411765</v>
      </c>
      <c r="P197" s="249"/>
      <c r="Q197" s="397"/>
      <c r="R197" s="399">
        <f t="shared" si="29"/>
        <v>0</v>
      </c>
      <c r="S197" s="249"/>
      <c r="T197" s="395">
        <f t="shared" si="30"/>
        <v>87.36</v>
      </c>
      <c r="U197" s="396">
        <f t="shared" si="31"/>
        <v>637434.3529411765</v>
      </c>
      <c r="V197" s="311"/>
      <c r="W197" s="312"/>
      <c r="X197" s="201"/>
    </row>
    <row r="198" spans="1:27" s="190" customFormat="1" ht="19.5" customHeight="1">
      <c r="B198" s="173">
        <v>4</v>
      </c>
      <c r="C198" s="935" t="s">
        <v>74</v>
      </c>
      <c r="D198" s="936"/>
      <c r="E198" s="936"/>
      <c r="F198" s="936"/>
      <c r="G198" s="936"/>
      <c r="H198" s="937"/>
      <c r="I198" s="186" t="s">
        <v>71</v>
      </c>
      <c r="J198" s="175">
        <v>87.36</v>
      </c>
      <c r="K198" s="189">
        <f>2264/1.19</f>
        <v>1902.5210084033615</v>
      </c>
      <c r="L198" s="228">
        <f t="shared" si="27"/>
        <v>166204.23529411765</v>
      </c>
      <c r="M198" s="171"/>
      <c r="N198" s="395">
        <v>87.36</v>
      </c>
      <c r="O198" s="179">
        <f t="shared" si="28"/>
        <v>166204.23529411765</v>
      </c>
      <c r="P198" s="249"/>
      <c r="Q198" s="397"/>
      <c r="R198" s="399">
        <f t="shared" si="29"/>
        <v>0</v>
      </c>
      <c r="S198" s="249"/>
      <c r="T198" s="395">
        <f t="shared" si="30"/>
        <v>87.36</v>
      </c>
      <c r="U198" s="396">
        <f t="shared" si="31"/>
        <v>166204.23529411765</v>
      </c>
      <c r="V198" s="311"/>
      <c r="W198" s="312"/>
      <c r="X198" s="201"/>
    </row>
    <row r="199" spans="1:27" s="190" customFormat="1" ht="19.5" customHeight="1">
      <c r="B199" s="173">
        <v>5</v>
      </c>
      <c r="C199" s="932" t="s">
        <v>75</v>
      </c>
      <c r="D199" s="933"/>
      <c r="E199" s="933"/>
      <c r="F199" s="933"/>
      <c r="G199" s="933"/>
      <c r="H199" s="934"/>
      <c r="I199" s="174" t="s">
        <v>71</v>
      </c>
      <c r="J199" s="175">
        <v>87.36</v>
      </c>
      <c r="K199" s="189">
        <f>3967/1.19</f>
        <v>3333.6134453781515</v>
      </c>
      <c r="L199" s="228">
        <f t="shared" si="27"/>
        <v>291224.4705882353</v>
      </c>
      <c r="M199" s="171"/>
      <c r="N199" s="400"/>
      <c r="O199" s="179"/>
      <c r="P199" s="249"/>
      <c r="Q199" s="397"/>
      <c r="R199" s="399">
        <f t="shared" si="29"/>
        <v>0</v>
      </c>
      <c r="S199" s="249"/>
      <c r="T199" s="395">
        <f t="shared" si="30"/>
        <v>0</v>
      </c>
      <c r="U199" s="396">
        <f t="shared" si="31"/>
        <v>0</v>
      </c>
      <c r="V199" s="311"/>
      <c r="W199" s="312"/>
      <c r="X199" s="201"/>
    </row>
    <row r="200" spans="1:27" s="190" customFormat="1" ht="15" customHeight="1">
      <c r="B200" s="401"/>
      <c r="C200" s="813" t="s">
        <v>76</v>
      </c>
      <c r="D200" s="814"/>
      <c r="E200" s="814"/>
      <c r="F200" s="814"/>
      <c r="G200" s="814"/>
      <c r="H200" s="815"/>
      <c r="I200" s="402"/>
      <c r="J200" s="403"/>
      <c r="K200" s="404"/>
      <c r="L200" s="405">
        <f>ROUND(SUM(L195:L199),0)</f>
        <v>4583243</v>
      </c>
      <c r="M200" s="171"/>
      <c r="N200" s="406"/>
      <c r="O200" s="407">
        <f>SUM(O195:O199)</f>
        <v>2319811.7647058824</v>
      </c>
      <c r="P200" s="249"/>
      <c r="Q200" s="408"/>
      <c r="R200" s="409">
        <f>SUM(R195:R199)</f>
        <v>1972207.0588235294</v>
      </c>
      <c r="S200" s="249"/>
      <c r="T200" s="410">
        <f>+N200+Q200</f>
        <v>0</v>
      </c>
      <c r="U200" s="407">
        <f>SUM(U195:U199)</f>
        <v>4292018.823529412</v>
      </c>
      <c r="V200" s="822"/>
      <c r="W200" s="823"/>
      <c r="X200" s="201"/>
    </row>
    <row r="201" spans="1:27" s="190" customFormat="1" ht="15">
      <c r="A201" s="150"/>
      <c r="B201" s="164"/>
      <c r="C201" s="813" t="s">
        <v>181</v>
      </c>
      <c r="D201" s="814"/>
      <c r="E201" s="814"/>
      <c r="F201" s="814"/>
      <c r="G201" s="814"/>
      <c r="H201" s="815"/>
      <c r="I201" s="165"/>
      <c r="J201" s="166"/>
      <c r="K201" s="335"/>
      <c r="L201" s="214"/>
      <c r="M201" s="171"/>
      <c r="N201" s="297"/>
      <c r="O201" s="298"/>
      <c r="P201" s="245"/>
      <c r="Q201" s="299"/>
      <c r="R201" s="298"/>
      <c r="S201" s="245"/>
      <c r="T201" s="245"/>
      <c r="U201" s="300"/>
      <c r="V201" s="301"/>
      <c r="W201" s="301"/>
      <c r="X201" s="149"/>
    </row>
    <row r="202" spans="1:27" s="190" customFormat="1" ht="15">
      <c r="B202" s="337"/>
      <c r="C202" s="920" t="s">
        <v>182</v>
      </c>
      <c r="D202" s="921"/>
      <c r="E202" s="921"/>
      <c r="F202" s="921"/>
      <c r="G202" s="921"/>
      <c r="H202" s="922"/>
      <c r="I202" s="338" t="s">
        <v>79</v>
      </c>
      <c r="J202" s="339" t="s">
        <v>80</v>
      </c>
      <c r="K202" s="340" t="s">
        <v>183</v>
      </c>
      <c r="L202" s="218" t="s">
        <v>184</v>
      </c>
      <c r="M202" s="196"/>
      <c r="N202" s="341" t="s">
        <v>185</v>
      </c>
      <c r="O202" s="342" t="s">
        <v>186</v>
      </c>
      <c r="P202" s="343"/>
      <c r="Q202" s="344" t="s">
        <v>185</v>
      </c>
      <c r="R202" s="342" t="s">
        <v>186</v>
      </c>
      <c r="S202" s="346"/>
      <c r="T202" s="324" t="s">
        <v>80</v>
      </c>
      <c r="U202" s="347" t="s">
        <v>67</v>
      </c>
      <c r="V202" s="883" t="s">
        <v>187</v>
      </c>
      <c r="W202" s="884"/>
      <c r="X202" s="201"/>
    </row>
    <row r="203" spans="1:27" s="190" customFormat="1" ht="15.75">
      <c r="B203" s="337">
        <v>1</v>
      </c>
      <c r="C203" s="923" t="s">
        <v>78</v>
      </c>
      <c r="D203" s="924"/>
      <c r="E203" s="924"/>
      <c r="F203" s="924"/>
      <c r="G203" s="924"/>
      <c r="H203" s="925"/>
      <c r="I203" s="348"/>
      <c r="J203" s="349"/>
      <c r="K203" s="350"/>
      <c r="L203" s="351">
        <f t="shared" ref="L203:L276" si="32">K203*J203</f>
        <v>0</v>
      </c>
      <c r="M203" s="196"/>
      <c r="N203" s="229"/>
      <c r="O203" s="353"/>
      <c r="P203" s="249"/>
      <c r="Q203" s="354"/>
      <c r="R203" s="353"/>
      <c r="S203" s="250"/>
      <c r="T203" s="234">
        <f t="shared" ref="T203:T266" si="33">N203+Q203</f>
        <v>0</v>
      </c>
      <c r="U203" s="235"/>
      <c r="V203" s="311"/>
      <c r="W203" s="312"/>
      <c r="X203" s="201"/>
    </row>
    <row r="204" spans="1:27" s="190" customFormat="1" ht="15">
      <c r="B204" s="356" t="s">
        <v>83</v>
      </c>
      <c r="C204" s="926" t="s">
        <v>84</v>
      </c>
      <c r="D204" s="927"/>
      <c r="E204" s="927"/>
      <c r="F204" s="927"/>
      <c r="G204" s="927"/>
      <c r="H204" s="928"/>
      <c r="I204" s="356" t="s">
        <v>71</v>
      </c>
      <c r="J204" s="226">
        <v>87.36</v>
      </c>
      <c r="K204" s="227">
        <v>10102</v>
      </c>
      <c r="L204" s="228">
        <f t="shared" si="32"/>
        <v>882510.72</v>
      </c>
      <c r="M204" s="196"/>
      <c r="N204" s="229"/>
      <c r="O204" s="179">
        <f>K204*N204</f>
        <v>0</v>
      </c>
      <c r="P204" s="249"/>
      <c r="Q204" s="358">
        <v>87.36</v>
      </c>
      <c r="R204" s="179">
        <f>Q204*K204</f>
        <v>882510.72</v>
      </c>
      <c r="S204" s="250"/>
      <c r="T204" s="234">
        <f t="shared" si="33"/>
        <v>87.36</v>
      </c>
      <c r="U204" s="235">
        <f>T204*K204</f>
        <v>882510.72</v>
      </c>
      <c r="V204" s="822"/>
      <c r="W204" s="823"/>
      <c r="X204" s="201"/>
    </row>
    <row r="205" spans="1:27" s="190" customFormat="1" ht="15" customHeight="1">
      <c r="B205" s="359" t="s">
        <v>86</v>
      </c>
      <c r="C205" s="941" t="s">
        <v>87</v>
      </c>
      <c r="D205" s="942"/>
      <c r="E205" s="942"/>
      <c r="F205" s="942"/>
      <c r="G205" s="942"/>
      <c r="H205" s="943"/>
      <c r="I205" s="360" t="s">
        <v>71</v>
      </c>
      <c r="J205" s="226">
        <v>87.36</v>
      </c>
      <c r="K205" s="227">
        <v>2832</v>
      </c>
      <c r="L205" s="228">
        <f t="shared" si="32"/>
        <v>247403.51999999999</v>
      </c>
      <c r="M205" s="196"/>
      <c r="N205" s="229"/>
      <c r="O205" s="179">
        <f t="shared" ref="O205:O268" si="34">K205*N205</f>
        <v>0</v>
      </c>
      <c r="P205" s="249"/>
      <c r="Q205" s="358">
        <v>87.36</v>
      </c>
      <c r="R205" s="179">
        <f t="shared" ref="R205:R269" si="35">Q205*K205</f>
        <v>247403.51999999999</v>
      </c>
      <c r="S205" s="250"/>
      <c r="T205" s="234">
        <f t="shared" si="33"/>
        <v>87.36</v>
      </c>
      <c r="U205" s="235">
        <f t="shared" ref="U205:U268" si="36">T205*K205</f>
        <v>247403.51999999999</v>
      </c>
      <c r="V205" s="822"/>
      <c r="W205" s="823"/>
      <c r="X205" s="201"/>
    </row>
    <row r="206" spans="1:27" s="190" customFormat="1" ht="15" customHeight="1">
      <c r="B206" s="356" t="s">
        <v>88</v>
      </c>
      <c r="C206" s="944" t="s">
        <v>89</v>
      </c>
      <c r="D206" s="945"/>
      <c r="E206" s="945"/>
      <c r="F206" s="945"/>
      <c r="G206" s="945"/>
      <c r="H206" s="946"/>
      <c r="I206" s="356" t="s">
        <v>91</v>
      </c>
      <c r="J206" s="226">
        <v>41.482914999999998</v>
      </c>
      <c r="K206" s="361">
        <v>48450</v>
      </c>
      <c r="L206" s="228">
        <f t="shared" si="32"/>
        <v>2009847.23175</v>
      </c>
      <c r="M206" s="196"/>
      <c r="N206" s="229"/>
      <c r="O206" s="179">
        <f t="shared" si="34"/>
        <v>0</v>
      </c>
      <c r="P206" s="249"/>
      <c r="Q206" s="358">
        <v>41.48</v>
      </c>
      <c r="R206" s="179">
        <f t="shared" si="35"/>
        <v>2009705.9999999998</v>
      </c>
      <c r="S206" s="250"/>
      <c r="T206" s="234">
        <f t="shared" si="33"/>
        <v>41.48</v>
      </c>
      <c r="U206" s="235">
        <f t="shared" si="36"/>
        <v>2009705.9999999998</v>
      </c>
      <c r="V206" s="822"/>
      <c r="W206" s="823"/>
      <c r="X206" s="201"/>
      <c r="AA206" s="313">
        <f>Q206+N206</f>
        <v>41.48</v>
      </c>
    </row>
    <row r="207" spans="1:27" s="190" customFormat="1" ht="15" customHeight="1">
      <c r="B207" s="356" t="s">
        <v>256</v>
      </c>
      <c r="C207" s="947" t="s">
        <v>257</v>
      </c>
      <c r="D207" s="948"/>
      <c r="E207" s="948"/>
      <c r="F207" s="948"/>
      <c r="G207" s="948"/>
      <c r="H207" s="949"/>
      <c r="I207" s="356" t="s">
        <v>71</v>
      </c>
      <c r="J207" s="226">
        <v>312.95400000000001</v>
      </c>
      <c r="K207" s="227">
        <v>62758</v>
      </c>
      <c r="L207" s="228">
        <f t="shared" si="32"/>
        <v>19640367.131999999</v>
      </c>
      <c r="M207" s="196"/>
      <c r="N207" s="229">
        <v>17.393999968131549</v>
      </c>
      <c r="O207" s="179">
        <f t="shared" si="34"/>
        <v>1091612.6499999997</v>
      </c>
      <c r="P207" s="249"/>
      <c r="Q207" s="358">
        <v>295.56</v>
      </c>
      <c r="R207" s="363">
        <f t="shared" si="35"/>
        <v>18548754.48</v>
      </c>
      <c r="S207" s="250"/>
      <c r="T207" s="234">
        <f t="shared" si="33"/>
        <v>312.95399996813154</v>
      </c>
      <c r="U207" s="235">
        <f t="shared" si="36"/>
        <v>19640367.129999999</v>
      </c>
      <c r="V207" s="822"/>
      <c r="W207" s="823"/>
      <c r="X207" s="201"/>
    </row>
    <row r="208" spans="1:27" s="190" customFormat="1" ht="15">
      <c r="B208" s="362">
        <v>2</v>
      </c>
      <c r="C208" s="938" t="s">
        <v>188</v>
      </c>
      <c r="D208" s="939"/>
      <c r="E208" s="939"/>
      <c r="F208" s="939"/>
      <c r="G208" s="939"/>
      <c r="H208" s="940"/>
      <c r="I208" s="356"/>
      <c r="J208" s="226"/>
      <c r="K208" s="227"/>
      <c r="L208" s="228">
        <f t="shared" si="32"/>
        <v>0</v>
      </c>
      <c r="M208" s="196"/>
      <c r="N208" s="229"/>
      <c r="O208" s="363">
        <f t="shared" si="34"/>
        <v>0</v>
      </c>
      <c r="P208" s="249"/>
      <c r="Q208" s="358">
        <v>0</v>
      </c>
      <c r="R208" s="363">
        <f t="shared" si="35"/>
        <v>0</v>
      </c>
      <c r="S208" s="250"/>
      <c r="T208" s="234">
        <f t="shared" si="33"/>
        <v>0</v>
      </c>
      <c r="U208" s="235">
        <f t="shared" si="36"/>
        <v>0</v>
      </c>
      <c r="V208" s="822"/>
      <c r="W208" s="823"/>
      <c r="X208" s="201"/>
    </row>
    <row r="209" spans="2:27" s="190" customFormat="1" ht="15" customHeight="1">
      <c r="B209" s="356" t="s">
        <v>104</v>
      </c>
      <c r="C209" s="856" t="s">
        <v>105</v>
      </c>
      <c r="D209" s="857"/>
      <c r="E209" s="857"/>
      <c r="F209" s="857"/>
      <c r="G209" s="857"/>
      <c r="H209" s="858"/>
      <c r="I209" s="356" t="s">
        <v>91</v>
      </c>
      <c r="J209" s="226">
        <v>0.56701500000000005</v>
      </c>
      <c r="K209" s="227">
        <v>513005</v>
      </c>
      <c r="L209" s="228">
        <f t="shared" si="32"/>
        <v>290881.53007500002</v>
      </c>
      <c r="M209" s="196"/>
      <c r="N209" s="229"/>
      <c r="O209" s="179">
        <f t="shared" si="34"/>
        <v>0</v>
      </c>
      <c r="P209" s="249"/>
      <c r="Q209" s="358">
        <v>0.56999999999999995</v>
      </c>
      <c r="R209" s="179">
        <f t="shared" si="35"/>
        <v>292412.84999999998</v>
      </c>
      <c r="S209" s="250"/>
      <c r="T209" s="234">
        <f t="shared" si="33"/>
        <v>0.56999999999999995</v>
      </c>
      <c r="U209" s="235">
        <f t="shared" si="36"/>
        <v>292412.84999999998</v>
      </c>
      <c r="V209" s="822"/>
      <c r="W209" s="823"/>
      <c r="X209" s="201"/>
      <c r="AA209" s="313">
        <f>Q209+N209</f>
        <v>0.56999999999999995</v>
      </c>
    </row>
    <row r="210" spans="2:27" s="190" customFormat="1" ht="15" customHeight="1">
      <c r="B210" s="356" t="s">
        <v>102</v>
      </c>
      <c r="C210" s="856" t="s">
        <v>103</v>
      </c>
      <c r="D210" s="857"/>
      <c r="E210" s="857"/>
      <c r="F210" s="857"/>
      <c r="G210" s="857"/>
      <c r="H210" s="858"/>
      <c r="I210" s="356" t="s">
        <v>91</v>
      </c>
      <c r="J210" s="226">
        <v>4.4000000000000004</v>
      </c>
      <c r="K210" s="227">
        <v>461018</v>
      </c>
      <c r="L210" s="228">
        <f t="shared" si="32"/>
        <v>2028479.2000000002</v>
      </c>
      <c r="M210" s="196"/>
      <c r="N210" s="229">
        <v>0.27</v>
      </c>
      <c r="O210" s="179">
        <f t="shared" si="34"/>
        <v>124474.86000000002</v>
      </c>
      <c r="P210" s="249"/>
      <c r="Q210" s="358">
        <v>4.13</v>
      </c>
      <c r="R210" s="179">
        <f t="shared" si="35"/>
        <v>1904004.3399999999</v>
      </c>
      <c r="S210" s="250"/>
      <c r="T210" s="234">
        <f t="shared" si="33"/>
        <v>4.4000000000000004</v>
      </c>
      <c r="U210" s="235">
        <f t="shared" si="36"/>
        <v>2028479.2000000002</v>
      </c>
      <c r="V210" s="822"/>
      <c r="W210" s="823"/>
      <c r="X210" s="201"/>
    </row>
    <row r="211" spans="2:27" s="190" customFormat="1" ht="15" customHeight="1">
      <c r="B211" s="356" t="s">
        <v>100</v>
      </c>
      <c r="C211" s="856" t="s">
        <v>189</v>
      </c>
      <c r="D211" s="857"/>
      <c r="E211" s="857"/>
      <c r="F211" s="857"/>
      <c r="G211" s="857"/>
      <c r="H211" s="858"/>
      <c r="I211" s="356" t="s">
        <v>91</v>
      </c>
      <c r="J211" s="226">
        <v>4.4000000000000004</v>
      </c>
      <c r="K211" s="227">
        <v>778702</v>
      </c>
      <c r="L211" s="228">
        <f t="shared" si="32"/>
        <v>3426288.8000000003</v>
      </c>
      <c r="M211" s="196"/>
      <c r="N211" s="229">
        <v>4.4000000000000004</v>
      </c>
      <c r="O211" s="179">
        <f t="shared" si="34"/>
        <v>3426288.8000000003</v>
      </c>
      <c r="P211" s="249"/>
      <c r="Q211" s="358"/>
      <c r="R211" s="363">
        <f t="shared" si="35"/>
        <v>0</v>
      </c>
      <c r="S211" s="250"/>
      <c r="T211" s="234">
        <f t="shared" si="33"/>
        <v>4.4000000000000004</v>
      </c>
      <c r="U211" s="235">
        <f t="shared" si="36"/>
        <v>3426288.8000000003</v>
      </c>
      <c r="V211" s="822"/>
      <c r="W211" s="823"/>
      <c r="X211" s="201"/>
    </row>
    <row r="212" spans="2:27" s="190" customFormat="1" ht="15" customHeight="1">
      <c r="B212" s="356" t="s">
        <v>106</v>
      </c>
      <c r="C212" s="856" t="s">
        <v>190</v>
      </c>
      <c r="D212" s="857"/>
      <c r="E212" s="857"/>
      <c r="F212" s="857"/>
      <c r="G212" s="857"/>
      <c r="H212" s="858"/>
      <c r="I212" s="356" t="s">
        <v>91</v>
      </c>
      <c r="J212" s="226">
        <v>2.2514999999999996</v>
      </c>
      <c r="K212" s="227">
        <v>804034</v>
      </c>
      <c r="L212" s="228">
        <f t="shared" si="32"/>
        <v>1810282.5509999997</v>
      </c>
      <c r="M212" s="196"/>
      <c r="N212" s="229">
        <v>2.2514999987562714</v>
      </c>
      <c r="O212" s="179">
        <f t="shared" si="34"/>
        <v>1810282.5499999998</v>
      </c>
      <c r="P212" s="249"/>
      <c r="Q212" s="358"/>
      <c r="R212" s="363">
        <f t="shared" si="35"/>
        <v>0</v>
      </c>
      <c r="S212" s="250"/>
      <c r="T212" s="234">
        <f t="shared" si="33"/>
        <v>2.2514999987562714</v>
      </c>
      <c r="U212" s="235">
        <f t="shared" si="36"/>
        <v>1810282.5499999998</v>
      </c>
      <c r="V212" s="822"/>
      <c r="W212" s="823"/>
      <c r="X212" s="201"/>
    </row>
    <row r="213" spans="2:27" s="190" customFormat="1" ht="15" customHeight="1">
      <c r="B213" s="356" t="s">
        <v>108</v>
      </c>
      <c r="C213" s="953" t="s">
        <v>191</v>
      </c>
      <c r="D213" s="954"/>
      <c r="E213" s="954"/>
      <c r="F213" s="954"/>
      <c r="G213" s="954"/>
      <c r="H213" s="955"/>
      <c r="I213" s="356" t="s">
        <v>91</v>
      </c>
      <c r="J213" s="226">
        <v>4.0590000000000002</v>
      </c>
      <c r="K213" s="227">
        <v>875931</v>
      </c>
      <c r="L213" s="228">
        <f t="shared" si="32"/>
        <v>3555403.929</v>
      </c>
      <c r="M213" s="196"/>
      <c r="N213" s="229">
        <v>4.0590000011416425</v>
      </c>
      <c r="O213" s="179">
        <f t="shared" si="34"/>
        <v>3555403.93</v>
      </c>
      <c r="P213" s="249"/>
      <c r="Q213" s="358"/>
      <c r="R213" s="363">
        <f t="shared" si="35"/>
        <v>0</v>
      </c>
      <c r="S213" s="250"/>
      <c r="T213" s="234">
        <f t="shared" si="33"/>
        <v>4.0590000011416425</v>
      </c>
      <c r="U213" s="235">
        <f t="shared" si="36"/>
        <v>3555403.93</v>
      </c>
      <c r="V213" s="822"/>
      <c r="W213" s="823"/>
      <c r="X213" s="201"/>
    </row>
    <row r="214" spans="2:27" s="190" customFormat="1" ht="15" customHeight="1">
      <c r="B214" s="359" t="s">
        <v>110</v>
      </c>
      <c r="C214" s="950" t="s">
        <v>192</v>
      </c>
      <c r="D214" s="951"/>
      <c r="E214" s="951"/>
      <c r="F214" s="951"/>
      <c r="G214" s="951"/>
      <c r="H214" s="952"/>
      <c r="I214" s="411" t="s">
        <v>91</v>
      </c>
      <c r="J214" s="412">
        <v>4.1612600000000004</v>
      </c>
      <c r="K214" s="413">
        <v>884610</v>
      </c>
      <c r="L214" s="414">
        <f t="shared" si="32"/>
        <v>3681092.2086000005</v>
      </c>
      <c r="M214" s="415"/>
      <c r="N214" s="229">
        <v>4.161260001582618</v>
      </c>
      <c r="O214" s="179">
        <f t="shared" si="34"/>
        <v>3681092.2099999995</v>
      </c>
      <c r="P214" s="249"/>
      <c r="Q214" s="358"/>
      <c r="R214" s="363">
        <f t="shared" si="35"/>
        <v>0</v>
      </c>
      <c r="S214" s="250"/>
      <c r="T214" s="234">
        <f t="shared" si="33"/>
        <v>4.161260001582618</v>
      </c>
      <c r="U214" s="235">
        <f t="shared" si="36"/>
        <v>3681092.2099999995</v>
      </c>
      <c r="V214" s="822"/>
      <c r="W214" s="823"/>
      <c r="X214" s="201"/>
    </row>
    <row r="215" spans="2:27" s="190" customFormat="1" ht="15" customHeight="1">
      <c r="B215" s="356" t="s">
        <v>258</v>
      </c>
      <c r="C215" s="905" t="s">
        <v>194</v>
      </c>
      <c r="D215" s="906"/>
      <c r="E215" s="906"/>
      <c r="F215" s="906"/>
      <c r="G215" s="906"/>
      <c r="H215" s="907"/>
      <c r="I215" s="356" t="s">
        <v>71</v>
      </c>
      <c r="J215" s="226">
        <v>9.166500000000001</v>
      </c>
      <c r="K215" s="227">
        <v>97830</v>
      </c>
      <c r="L215" s="228">
        <f t="shared" si="32"/>
        <v>896758.69500000007</v>
      </c>
      <c r="M215" s="196"/>
      <c r="N215" s="229">
        <v>9.1665000511090664</v>
      </c>
      <c r="O215" s="179">
        <f t="shared" si="34"/>
        <v>896758.7</v>
      </c>
      <c r="P215" s="249"/>
      <c r="Q215" s="358"/>
      <c r="R215" s="363">
        <f t="shared" si="35"/>
        <v>0</v>
      </c>
      <c r="S215" s="250"/>
      <c r="T215" s="234">
        <f t="shared" si="33"/>
        <v>9.1665000511090664</v>
      </c>
      <c r="U215" s="235">
        <f t="shared" si="36"/>
        <v>896758.7</v>
      </c>
      <c r="V215" s="822"/>
      <c r="W215" s="823"/>
      <c r="X215" s="201"/>
    </row>
    <row r="216" spans="2:27" s="190" customFormat="1" ht="28.5" customHeight="1">
      <c r="B216" s="359" t="s">
        <v>259</v>
      </c>
      <c r="C216" s="905" t="s">
        <v>260</v>
      </c>
      <c r="D216" s="906"/>
      <c r="E216" s="906"/>
      <c r="F216" s="906"/>
      <c r="G216" s="906"/>
      <c r="H216" s="907"/>
      <c r="I216" s="364" t="s">
        <v>132</v>
      </c>
      <c r="J216" s="226">
        <v>37.839999999999996</v>
      </c>
      <c r="K216" s="227">
        <v>80141</v>
      </c>
      <c r="L216" s="228">
        <f t="shared" si="32"/>
        <v>3032535.4399999995</v>
      </c>
      <c r="M216" s="196"/>
      <c r="N216" s="416"/>
      <c r="O216" s="363"/>
      <c r="P216" s="249"/>
      <c r="Q216" s="358"/>
      <c r="R216" s="363">
        <f t="shared" si="35"/>
        <v>0</v>
      </c>
      <c r="S216" s="250"/>
      <c r="T216" s="234">
        <f t="shared" si="33"/>
        <v>0</v>
      </c>
      <c r="U216" s="235">
        <f t="shared" si="36"/>
        <v>0</v>
      </c>
      <c r="V216" s="822"/>
      <c r="W216" s="823"/>
      <c r="X216" s="201"/>
    </row>
    <row r="217" spans="2:27" s="190" customFormat="1" ht="15" customHeight="1">
      <c r="B217" s="359" t="s">
        <v>198</v>
      </c>
      <c r="C217" s="856" t="s">
        <v>199</v>
      </c>
      <c r="D217" s="857"/>
      <c r="E217" s="857"/>
      <c r="F217" s="857"/>
      <c r="G217" s="857"/>
      <c r="H217" s="858"/>
      <c r="I217" s="366" t="s">
        <v>132</v>
      </c>
      <c r="J217" s="226">
        <v>16.38</v>
      </c>
      <c r="K217" s="227">
        <v>68820</v>
      </c>
      <c r="L217" s="228">
        <f t="shared" si="32"/>
        <v>1127271.5999999999</v>
      </c>
      <c r="M217" s="196"/>
      <c r="N217" s="229"/>
      <c r="O217" s="363">
        <f>K217*N217</f>
        <v>0</v>
      </c>
      <c r="P217" s="249"/>
      <c r="Q217" s="358"/>
      <c r="R217" s="363">
        <f t="shared" si="35"/>
        <v>0</v>
      </c>
      <c r="S217" s="250"/>
      <c r="T217" s="234">
        <f t="shared" si="33"/>
        <v>0</v>
      </c>
      <c r="U217" s="235">
        <f t="shared" si="36"/>
        <v>0</v>
      </c>
      <c r="V217" s="822"/>
      <c r="W217" s="823"/>
      <c r="X217" s="201"/>
    </row>
    <row r="218" spans="2:27" s="190" customFormat="1" ht="15" customHeight="1">
      <c r="B218" s="365" t="s">
        <v>200</v>
      </c>
      <c r="C218" s="902" t="s">
        <v>201</v>
      </c>
      <c r="D218" s="903"/>
      <c r="E218" s="903"/>
      <c r="F218" s="903"/>
      <c r="G218" s="903"/>
      <c r="H218" s="904"/>
      <c r="I218" s="366" t="s">
        <v>202</v>
      </c>
      <c r="J218" s="226">
        <v>2765.5278268799998</v>
      </c>
      <c r="K218" s="227">
        <v>6457</v>
      </c>
      <c r="L218" s="228">
        <f t="shared" si="32"/>
        <v>17857013.178164158</v>
      </c>
      <c r="M218" s="196"/>
      <c r="N218" s="229">
        <v>1200</v>
      </c>
      <c r="O218" s="179">
        <f t="shared" si="34"/>
        <v>7748400</v>
      </c>
      <c r="P218" s="249"/>
      <c r="Q218" s="358"/>
      <c r="R218" s="363">
        <f t="shared" si="35"/>
        <v>0</v>
      </c>
      <c r="S218" s="250"/>
      <c r="T218" s="234">
        <f t="shared" si="33"/>
        <v>1200</v>
      </c>
      <c r="U218" s="235">
        <f t="shared" si="36"/>
        <v>7748400</v>
      </c>
      <c r="V218" s="822"/>
      <c r="W218" s="823"/>
      <c r="X218" s="201"/>
    </row>
    <row r="219" spans="2:27" s="190" customFormat="1" ht="15" customHeight="1">
      <c r="B219" s="365" t="s">
        <v>97</v>
      </c>
      <c r="C219" s="902" t="s">
        <v>203</v>
      </c>
      <c r="D219" s="903" t="s">
        <v>203</v>
      </c>
      <c r="E219" s="903" t="s">
        <v>203</v>
      </c>
      <c r="F219" s="903" t="s">
        <v>203</v>
      </c>
      <c r="G219" s="903" t="s">
        <v>203</v>
      </c>
      <c r="H219" s="904" t="s">
        <v>203</v>
      </c>
      <c r="I219" s="366" t="s">
        <v>202</v>
      </c>
      <c r="J219" s="226">
        <v>1590.3980399999994</v>
      </c>
      <c r="K219" s="227">
        <v>6457</v>
      </c>
      <c r="L219" s="228">
        <f t="shared" si="32"/>
        <v>10269200.144279996</v>
      </c>
      <c r="M219" s="196"/>
      <c r="N219" s="229">
        <v>950</v>
      </c>
      <c r="O219" s="179">
        <f t="shared" si="34"/>
        <v>6134150</v>
      </c>
      <c r="P219" s="249"/>
      <c r="Q219" s="358"/>
      <c r="R219" s="363">
        <f t="shared" si="35"/>
        <v>0</v>
      </c>
      <c r="S219" s="250"/>
      <c r="T219" s="234">
        <f t="shared" si="33"/>
        <v>950</v>
      </c>
      <c r="U219" s="235">
        <f t="shared" si="36"/>
        <v>6134150</v>
      </c>
      <c r="V219" s="822"/>
      <c r="W219" s="823"/>
      <c r="X219" s="201"/>
    </row>
    <row r="220" spans="2:27" s="190" customFormat="1" ht="30.75" customHeight="1">
      <c r="B220" s="359" t="s">
        <v>92</v>
      </c>
      <c r="C220" s="856" t="s">
        <v>93</v>
      </c>
      <c r="D220" s="857"/>
      <c r="E220" s="857"/>
      <c r="F220" s="857"/>
      <c r="G220" s="857"/>
      <c r="H220" s="858"/>
      <c r="I220" s="366" t="s">
        <v>91</v>
      </c>
      <c r="J220" s="226">
        <v>29.292985000000002</v>
      </c>
      <c r="K220" s="227">
        <v>11393</v>
      </c>
      <c r="L220" s="228">
        <f t="shared" si="32"/>
        <v>333734.97810500005</v>
      </c>
      <c r="M220" s="196"/>
      <c r="N220" s="229">
        <v>29.292985166330201</v>
      </c>
      <c r="O220" s="179">
        <f t="shared" si="34"/>
        <v>333734.98</v>
      </c>
      <c r="P220" s="249"/>
      <c r="Q220" s="358"/>
      <c r="R220" s="363">
        <f t="shared" si="35"/>
        <v>0</v>
      </c>
      <c r="S220" s="250"/>
      <c r="T220" s="234">
        <f t="shared" si="33"/>
        <v>29.292985166330201</v>
      </c>
      <c r="U220" s="235">
        <f t="shared" si="36"/>
        <v>333734.98</v>
      </c>
      <c r="V220" s="822"/>
      <c r="W220" s="823"/>
      <c r="X220" s="201"/>
    </row>
    <row r="221" spans="2:27" s="190" customFormat="1" ht="15">
      <c r="B221" s="359" t="s">
        <v>204</v>
      </c>
      <c r="C221" s="856" t="s">
        <v>261</v>
      </c>
      <c r="D221" s="857"/>
      <c r="E221" s="857"/>
      <c r="F221" s="857"/>
      <c r="G221" s="857"/>
      <c r="H221" s="858"/>
      <c r="I221" s="366" t="s">
        <v>91</v>
      </c>
      <c r="J221" s="226">
        <v>29.29</v>
      </c>
      <c r="K221" s="227">
        <v>43045</v>
      </c>
      <c r="L221" s="228">
        <f t="shared" si="32"/>
        <v>1260788.05</v>
      </c>
      <c r="M221" s="196"/>
      <c r="N221" s="229">
        <v>29.292985015681264</v>
      </c>
      <c r="O221" s="363">
        <f t="shared" si="34"/>
        <v>1260916.54</v>
      </c>
      <c r="P221" s="249"/>
      <c r="Q221" s="358"/>
      <c r="R221" s="363">
        <f t="shared" si="35"/>
        <v>0</v>
      </c>
      <c r="S221" s="250"/>
      <c r="T221" s="234">
        <f t="shared" si="33"/>
        <v>29.292985015681264</v>
      </c>
      <c r="U221" s="235">
        <f t="shared" si="36"/>
        <v>1260916.54</v>
      </c>
      <c r="V221" s="822"/>
      <c r="W221" s="823"/>
      <c r="X221" s="201"/>
    </row>
    <row r="222" spans="2:27" s="190" customFormat="1" ht="15">
      <c r="B222" s="367">
        <v>3</v>
      </c>
      <c r="C222" s="938" t="s">
        <v>114</v>
      </c>
      <c r="D222" s="939"/>
      <c r="E222" s="939"/>
      <c r="F222" s="939"/>
      <c r="G222" s="939"/>
      <c r="H222" s="940"/>
      <c r="I222" s="366"/>
      <c r="J222" s="226"/>
      <c r="K222" s="227"/>
      <c r="L222" s="228">
        <f t="shared" si="32"/>
        <v>0</v>
      </c>
      <c r="M222" s="196"/>
      <c r="N222" s="229"/>
      <c r="O222" s="363">
        <f t="shared" si="34"/>
        <v>0</v>
      </c>
      <c r="P222" s="249"/>
      <c r="Q222" s="358"/>
      <c r="R222" s="363">
        <f t="shared" si="35"/>
        <v>0</v>
      </c>
      <c r="S222" s="250"/>
      <c r="T222" s="234">
        <f t="shared" si="33"/>
        <v>0</v>
      </c>
      <c r="U222" s="235">
        <f t="shared" si="36"/>
        <v>0</v>
      </c>
      <c r="V222" s="822"/>
      <c r="W222" s="823"/>
      <c r="X222" s="201"/>
    </row>
    <row r="223" spans="2:27" s="190" customFormat="1" ht="15" customHeight="1">
      <c r="B223" s="359" t="s">
        <v>262</v>
      </c>
      <c r="C223" s="856" t="s">
        <v>124</v>
      </c>
      <c r="D223" s="857"/>
      <c r="E223" s="857"/>
      <c r="F223" s="857"/>
      <c r="G223" s="857"/>
      <c r="H223" s="858"/>
      <c r="I223" s="366" t="s">
        <v>71</v>
      </c>
      <c r="J223" s="226">
        <v>99.863100000000003</v>
      </c>
      <c r="K223" s="227">
        <v>96180</v>
      </c>
      <c r="L223" s="228">
        <f t="shared" si="32"/>
        <v>9604832.9580000006</v>
      </c>
      <c r="M223" s="196"/>
      <c r="N223" s="229">
        <v>88.065100020794347</v>
      </c>
      <c r="O223" s="363">
        <f t="shared" si="34"/>
        <v>8470101.3200000003</v>
      </c>
      <c r="P223" s="249"/>
      <c r="Q223" s="358"/>
      <c r="R223" s="363">
        <f t="shared" si="35"/>
        <v>0</v>
      </c>
      <c r="S223" s="250"/>
      <c r="T223" s="234">
        <f t="shared" si="33"/>
        <v>88.065100020794347</v>
      </c>
      <c r="U223" s="235">
        <f t="shared" si="36"/>
        <v>8470101.3200000003</v>
      </c>
      <c r="V223" s="822"/>
      <c r="W223" s="823"/>
      <c r="X223" s="201"/>
    </row>
    <row r="224" spans="2:27" s="190" customFormat="1" ht="15" customHeight="1">
      <c r="B224" s="359" t="s">
        <v>117</v>
      </c>
      <c r="C224" s="856" t="s">
        <v>118</v>
      </c>
      <c r="D224" s="857"/>
      <c r="E224" s="857"/>
      <c r="F224" s="857"/>
      <c r="G224" s="857"/>
      <c r="H224" s="858"/>
      <c r="I224" s="366" t="s">
        <v>71</v>
      </c>
      <c r="J224" s="226">
        <v>148.4</v>
      </c>
      <c r="K224" s="227">
        <v>18419</v>
      </c>
      <c r="L224" s="228">
        <f t="shared" si="32"/>
        <v>2733379.6</v>
      </c>
      <c r="M224" s="196"/>
      <c r="N224" s="229">
        <v>53.5</v>
      </c>
      <c r="O224" s="363">
        <f t="shared" si="34"/>
        <v>985416.5</v>
      </c>
      <c r="P224" s="249"/>
      <c r="Q224" s="358"/>
      <c r="R224" s="363">
        <f t="shared" si="35"/>
        <v>0</v>
      </c>
      <c r="S224" s="250"/>
      <c r="T224" s="234">
        <f t="shared" si="33"/>
        <v>53.5</v>
      </c>
      <c r="U224" s="235">
        <f t="shared" si="36"/>
        <v>985416.5</v>
      </c>
      <c r="V224" s="822"/>
      <c r="W224" s="823"/>
      <c r="X224" s="201"/>
    </row>
    <row r="225" spans="2:24" s="190" customFormat="1" ht="15" customHeight="1">
      <c r="B225" s="359" t="s">
        <v>208</v>
      </c>
      <c r="C225" s="856" t="s">
        <v>263</v>
      </c>
      <c r="D225" s="857"/>
      <c r="E225" s="857"/>
      <c r="F225" s="857"/>
      <c r="G225" s="857"/>
      <c r="H225" s="858"/>
      <c r="I225" s="366" t="s">
        <v>71</v>
      </c>
      <c r="J225" s="226">
        <v>8.1765000000000008</v>
      </c>
      <c r="K225" s="227">
        <v>22197</v>
      </c>
      <c r="L225" s="228">
        <f t="shared" si="32"/>
        <v>181493.77050000001</v>
      </c>
      <c r="M225" s="196"/>
      <c r="N225" s="416"/>
      <c r="O225" s="363"/>
      <c r="P225" s="249"/>
      <c r="Q225" s="358"/>
      <c r="R225" s="363">
        <f t="shared" si="35"/>
        <v>0</v>
      </c>
      <c r="S225" s="250"/>
      <c r="T225" s="234">
        <f t="shared" si="33"/>
        <v>0</v>
      </c>
      <c r="U225" s="235">
        <f t="shared" si="36"/>
        <v>0</v>
      </c>
      <c r="V225" s="822"/>
      <c r="W225" s="823"/>
      <c r="X225" s="201"/>
    </row>
    <row r="226" spans="2:24" s="190" customFormat="1" ht="15" customHeight="1">
      <c r="B226" s="359" t="s">
        <v>210</v>
      </c>
      <c r="C226" s="856" t="s">
        <v>211</v>
      </c>
      <c r="D226" s="857"/>
      <c r="E226" s="857"/>
      <c r="F226" s="857"/>
      <c r="G226" s="857"/>
      <c r="H226" s="858"/>
      <c r="I226" s="366" t="s">
        <v>71</v>
      </c>
      <c r="J226" s="226">
        <v>86.5</v>
      </c>
      <c r="K226" s="227">
        <v>74012</v>
      </c>
      <c r="L226" s="228">
        <f t="shared" si="32"/>
        <v>6402038</v>
      </c>
      <c r="M226" s="196"/>
      <c r="N226" s="416"/>
      <c r="O226" s="363">
        <f t="shared" si="34"/>
        <v>0</v>
      </c>
      <c r="P226" s="249"/>
      <c r="Q226" s="358"/>
      <c r="R226" s="363">
        <f t="shared" si="35"/>
        <v>0</v>
      </c>
      <c r="S226" s="250"/>
      <c r="T226" s="234">
        <f t="shared" si="33"/>
        <v>0</v>
      </c>
      <c r="U226" s="235">
        <f t="shared" si="36"/>
        <v>0</v>
      </c>
      <c r="V226" s="822"/>
      <c r="W226" s="823"/>
      <c r="X226" s="201"/>
    </row>
    <row r="227" spans="2:24" s="190" customFormat="1" ht="15">
      <c r="B227" s="367">
        <v>4</v>
      </c>
      <c r="C227" s="938" t="s">
        <v>212</v>
      </c>
      <c r="D227" s="939"/>
      <c r="E227" s="939"/>
      <c r="F227" s="939"/>
      <c r="G227" s="939"/>
      <c r="H227" s="940"/>
      <c r="I227" s="366"/>
      <c r="J227" s="226"/>
      <c r="K227" s="227"/>
      <c r="L227" s="228">
        <f t="shared" si="32"/>
        <v>0</v>
      </c>
      <c r="M227" s="196"/>
      <c r="N227" s="416"/>
      <c r="O227" s="363">
        <f t="shared" si="34"/>
        <v>0</v>
      </c>
      <c r="P227" s="249"/>
      <c r="Q227" s="358"/>
      <c r="R227" s="363">
        <f t="shared" si="35"/>
        <v>0</v>
      </c>
      <c r="S227" s="250"/>
      <c r="T227" s="234">
        <f t="shared" si="33"/>
        <v>0</v>
      </c>
      <c r="U227" s="235">
        <f t="shared" si="36"/>
        <v>0</v>
      </c>
      <c r="V227" s="822"/>
      <c r="W227" s="823"/>
      <c r="X227" s="201"/>
    </row>
    <row r="228" spans="2:24" s="190" customFormat="1" ht="15" customHeight="1">
      <c r="B228" s="359" t="s">
        <v>264</v>
      </c>
      <c r="C228" s="856" t="s">
        <v>151</v>
      </c>
      <c r="D228" s="857"/>
      <c r="E228" s="857"/>
      <c r="F228" s="857"/>
      <c r="G228" s="857"/>
      <c r="H228" s="858"/>
      <c r="I228" s="366" t="s">
        <v>71</v>
      </c>
      <c r="J228" s="226">
        <v>94.463999999999984</v>
      </c>
      <c r="K228" s="227">
        <v>82258</v>
      </c>
      <c r="L228" s="228">
        <f t="shared" si="32"/>
        <v>7770419.7119999984</v>
      </c>
      <c r="M228" s="196"/>
      <c r="N228" s="229">
        <v>94.463999975686249</v>
      </c>
      <c r="O228" s="363">
        <f t="shared" si="34"/>
        <v>7770419.71</v>
      </c>
      <c r="P228" s="249"/>
      <c r="Q228" s="358"/>
      <c r="R228" s="363">
        <f t="shared" si="35"/>
        <v>0</v>
      </c>
      <c r="S228" s="250"/>
      <c r="T228" s="234">
        <f t="shared" si="33"/>
        <v>94.463999975686249</v>
      </c>
      <c r="U228" s="235">
        <f t="shared" si="36"/>
        <v>7770419.71</v>
      </c>
      <c r="V228" s="822"/>
      <c r="W228" s="823"/>
      <c r="X228" s="201"/>
    </row>
    <row r="229" spans="2:24" s="190" customFormat="1" ht="15" customHeight="1">
      <c r="B229" s="359" t="s">
        <v>213</v>
      </c>
      <c r="C229" s="856" t="s">
        <v>265</v>
      </c>
      <c r="D229" s="857"/>
      <c r="E229" s="857"/>
      <c r="F229" s="857"/>
      <c r="G229" s="857"/>
      <c r="H229" s="858"/>
      <c r="I229" s="366" t="s">
        <v>71</v>
      </c>
      <c r="J229" s="226">
        <v>220.72500000000002</v>
      </c>
      <c r="K229" s="227">
        <v>8006</v>
      </c>
      <c r="L229" s="228">
        <f t="shared" si="32"/>
        <v>1767124.35</v>
      </c>
      <c r="M229" s="196"/>
      <c r="N229" s="229">
        <v>220.72500000000002</v>
      </c>
      <c r="O229" s="363">
        <f t="shared" si="34"/>
        <v>1767124.35</v>
      </c>
      <c r="P229" s="249"/>
      <c r="Q229" s="358"/>
      <c r="R229" s="363"/>
      <c r="S229" s="250"/>
      <c r="T229" s="234"/>
      <c r="U229" s="235"/>
      <c r="V229" s="822"/>
      <c r="W229" s="823"/>
      <c r="X229" s="201"/>
    </row>
    <row r="230" spans="2:24" s="190" customFormat="1" ht="15" customHeight="1">
      <c r="B230" s="359" t="s">
        <v>154</v>
      </c>
      <c r="C230" s="856" t="s">
        <v>266</v>
      </c>
      <c r="D230" s="857"/>
      <c r="E230" s="857"/>
      <c r="F230" s="857"/>
      <c r="G230" s="857"/>
      <c r="H230" s="858"/>
      <c r="I230" s="366" t="s">
        <v>71</v>
      </c>
      <c r="J230" s="226">
        <v>206.49</v>
      </c>
      <c r="K230" s="227">
        <v>53106</v>
      </c>
      <c r="L230" s="228">
        <f t="shared" si="32"/>
        <v>10965857.940000001</v>
      </c>
      <c r="M230" s="196"/>
      <c r="N230" s="416"/>
      <c r="O230" s="363"/>
      <c r="P230" s="249"/>
      <c r="Q230" s="358"/>
      <c r="R230" s="363">
        <f t="shared" si="35"/>
        <v>0</v>
      </c>
      <c r="S230" s="250"/>
      <c r="T230" s="234">
        <f t="shared" si="33"/>
        <v>0</v>
      </c>
      <c r="U230" s="235">
        <f t="shared" si="36"/>
        <v>0</v>
      </c>
      <c r="V230" s="822"/>
      <c r="W230" s="823"/>
      <c r="X230" s="201"/>
    </row>
    <row r="231" spans="2:24" s="190" customFormat="1" ht="15" customHeight="1">
      <c r="B231" s="359" t="s">
        <v>267</v>
      </c>
      <c r="C231" s="905" t="s">
        <v>268</v>
      </c>
      <c r="D231" s="906"/>
      <c r="E231" s="906"/>
      <c r="F231" s="906"/>
      <c r="G231" s="906"/>
      <c r="H231" s="907"/>
      <c r="I231" s="366" t="s">
        <v>91</v>
      </c>
      <c r="J231" s="226">
        <v>20.150000000000002</v>
      </c>
      <c r="K231" s="227">
        <v>74196</v>
      </c>
      <c r="L231" s="228">
        <f t="shared" si="32"/>
        <v>1495049.4000000001</v>
      </c>
      <c r="M231" s="196"/>
      <c r="N231" s="416"/>
      <c r="O231" s="363"/>
      <c r="P231" s="249"/>
      <c r="Q231" s="358"/>
      <c r="R231" s="363">
        <f t="shared" si="35"/>
        <v>0</v>
      </c>
      <c r="S231" s="250"/>
      <c r="T231" s="234">
        <f t="shared" si="33"/>
        <v>0</v>
      </c>
      <c r="U231" s="235">
        <f t="shared" si="36"/>
        <v>0</v>
      </c>
      <c r="V231" s="822"/>
      <c r="W231" s="823"/>
      <c r="X231" s="201"/>
    </row>
    <row r="232" spans="2:24" s="190" customFormat="1" ht="15">
      <c r="B232" s="367">
        <v>5</v>
      </c>
      <c r="C232" s="938" t="s">
        <v>269</v>
      </c>
      <c r="D232" s="939"/>
      <c r="E232" s="939"/>
      <c r="F232" s="939"/>
      <c r="G232" s="939"/>
      <c r="H232" s="940"/>
      <c r="I232" s="366"/>
      <c r="J232" s="226"/>
      <c r="K232" s="227"/>
      <c r="L232" s="228">
        <f t="shared" si="32"/>
        <v>0</v>
      </c>
      <c r="M232" s="196"/>
      <c r="N232" s="416"/>
      <c r="O232" s="363">
        <f t="shared" si="34"/>
        <v>0</v>
      </c>
      <c r="P232" s="249"/>
      <c r="Q232" s="358"/>
      <c r="R232" s="363">
        <f t="shared" si="35"/>
        <v>0</v>
      </c>
      <c r="S232" s="250"/>
      <c r="T232" s="234">
        <f t="shared" si="33"/>
        <v>0</v>
      </c>
      <c r="U232" s="235">
        <f t="shared" si="36"/>
        <v>0</v>
      </c>
      <c r="V232" s="822"/>
      <c r="W232" s="823"/>
      <c r="X232" s="201"/>
    </row>
    <row r="233" spans="2:24" s="190" customFormat="1" ht="58.5" customHeight="1">
      <c r="B233" s="359" t="s">
        <v>126</v>
      </c>
      <c r="C233" s="856" t="s">
        <v>127</v>
      </c>
      <c r="D233" s="857"/>
      <c r="E233" s="857"/>
      <c r="F233" s="857"/>
      <c r="G233" s="857"/>
      <c r="H233" s="858"/>
      <c r="I233" s="366" t="s">
        <v>99</v>
      </c>
      <c r="J233" s="226">
        <v>753.1386</v>
      </c>
      <c r="K233" s="227">
        <v>11372</v>
      </c>
      <c r="L233" s="228">
        <f t="shared" si="32"/>
        <v>8564692.1591999996</v>
      </c>
      <c r="M233" s="196"/>
      <c r="N233" s="416"/>
      <c r="O233" s="363">
        <f t="shared" si="34"/>
        <v>0</v>
      </c>
      <c r="P233" s="249"/>
      <c r="Q233" s="358"/>
      <c r="R233" s="363">
        <f t="shared" si="35"/>
        <v>0</v>
      </c>
      <c r="S233" s="250"/>
      <c r="T233" s="234">
        <f t="shared" si="33"/>
        <v>0</v>
      </c>
      <c r="U233" s="235">
        <f t="shared" si="36"/>
        <v>0</v>
      </c>
      <c r="V233" s="822"/>
      <c r="W233" s="823"/>
      <c r="X233" s="201"/>
    </row>
    <row r="234" spans="2:24" s="190" customFormat="1" ht="35.25" customHeight="1">
      <c r="B234" s="359" t="s">
        <v>128</v>
      </c>
      <c r="C234" s="856" t="s">
        <v>129</v>
      </c>
      <c r="D234" s="857"/>
      <c r="E234" s="857"/>
      <c r="F234" s="857"/>
      <c r="G234" s="857"/>
      <c r="H234" s="858"/>
      <c r="I234" s="366" t="s">
        <v>71</v>
      </c>
      <c r="J234" s="226">
        <v>264.17250000000001</v>
      </c>
      <c r="K234" s="227">
        <v>82081</v>
      </c>
      <c r="L234" s="228">
        <f t="shared" si="32"/>
        <v>21683542.9725</v>
      </c>
      <c r="M234" s="196"/>
      <c r="N234" s="416"/>
      <c r="O234" s="363">
        <f t="shared" si="34"/>
        <v>0</v>
      </c>
      <c r="P234" s="249"/>
      <c r="Q234" s="358"/>
      <c r="R234" s="363">
        <f t="shared" si="35"/>
        <v>0</v>
      </c>
      <c r="S234" s="250"/>
      <c r="T234" s="234">
        <f t="shared" si="33"/>
        <v>0</v>
      </c>
      <c r="U234" s="235">
        <f t="shared" si="36"/>
        <v>0</v>
      </c>
      <c r="V234" s="822"/>
      <c r="W234" s="823"/>
      <c r="X234" s="201"/>
    </row>
    <row r="235" spans="2:24" s="190" customFormat="1" ht="32.25" customHeight="1">
      <c r="B235" s="367">
        <v>6</v>
      </c>
      <c r="C235" s="938" t="s">
        <v>216</v>
      </c>
      <c r="D235" s="939"/>
      <c r="E235" s="939"/>
      <c r="F235" s="939"/>
      <c r="G235" s="939"/>
      <c r="H235" s="940"/>
      <c r="I235" s="366"/>
      <c r="J235" s="226"/>
      <c r="K235" s="227"/>
      <c r="L235" s="228">
        <f t="shared" si="32"/>
        <v>0</v>
      </c>
      <c r="M235" s="196"/>
      <c r="N235" s="416"/>
      <c r="O235" s="363">
        <f t="shared" si="34"/>
        <v>0</v>
      </c>
      <c r="P235" s="249"/>
      <c r="Q235" s="358"/>
      <c r="R235" s="363">
        <f t="shared" si="35"/>
        <v>0</v>
      </c>
      <c r="S235" s="250"/>
      <c r="T235" s="234">
        <f t="shared" si="33"/>
        <v>0</v>
      </c>
      <c r="U235" s="235">
        <f t="shared" si="36"/>
        <v>0</v>
      </c>
      <c r="V235" s="822"/>
      <c r="W235" s="823"/>
      <c r="X235" s="201"/>
    </row>
    <row r="236" spans="2:24" s="190" customFormat="1" ht="32.25" customHeight="1">
      <c r="B236" s="359" t="s">
        <v>217</v>
      </c>
      <c r="C236" s="856" t="s">
        <v>218</v>
      </c>
      <c r="D236" s="857"/>
      <c r="E236" s="857"/>
      <c r="F236" s="857"/>
      <c r="G236" s="857"/>
      <c r="H236" s="858"/>
      <c r="I236" s="366" t="s">
        <v>132</v>
      </c>
      <c r="J236" s="226">
        <v>18.64</v>
      </c>
      <c r="K236" s="227">
        <v>98041</v>
      </c>
      <c r="L236" s="228">
        <f t="shared" si="32"/>
        <v>1827484.24</v>
      </c>
      <c r="M236" s="196"/>
      <c r="N236" s="416"/>
      <c r="O236" s="363">
        <f t="shared" si="34"/>
        <v>0</v>
      </c>
      <c r="P236" s="249"/>
      <c r="Q236" s="358"/>
      <c r="R236" s="363">
        <f t="shared" si="35"/>
        <v>0</v>
      </c>
      <c r="S236" s="250"/>
      <c r="T236" s="234">
        <f t="shared" si="33"/>
        <v>0</v>
      </c>
      <c r="U236" s="235">
        <f t="shared" si="36"/>
        <v>0</v>
      </c>
      <c r="V236" s="822"/>
      <c r="W236" s="823"/>
      <c r="X236" s="201"/>
    </row>
    <row r="237" spans="2:24" s="190" customFormat="1" ht="15" customHeight="1">
      <c r="B237" s="359" t="s">
        <v>147</v>
      </c>
      <c r="C237" s="905" t="s">
        <v>148</v>
      </c>
      <c r="D237" s="906"/>
      <c r="E237" s="906"/>
      <c r="F237" s="906"/>
      <c r="G237" s="906"/>
      <c r="H237" s="907"/>
      <c r="I237" s="366" t="s">
        <v>132</v>
      </c>
      <c r="J237" s="226">
        <v>16.799999999999997</v>
      </c>
      <c r="K237" s="227">
        <v>43105</v>
      </c>
      <c r="L237" s="228">
        <f t="shared" si="32"/>
        <v>724163.99999999988</v>
      </c>
      <c r="M237" s="196"/>
      <c r="N237" s="416"/>
      <c r="O237" s="363">
        <f t="shared" si="34"/>
        <v>0</v>
      </c>
      <c r="P237" s="249"/>
      <c r="Q237" s="358"/>
      <c r="R237" s="363">
        <f t="shared" si="35"/>
        <v>0</v>
      </c>
      <c r="S237" s="250"/>
      <c r="T237" s="234">
        <f t="shared" si="33"/>
        <v>0</v>
      </c>
      <c r="U237" s="235">
        <f t="shared" si="36"/>
        <v>0</v>
      </c>
      <c r="V237" s="822"/>
      <c r="W237" s="823"/>
      <c r="X237" s="201"/>
    </row>
    <row r="238" spans="2:24" s="190" customFormat="1" ht="15" customHeight="1">
      <c r="B238" s="359" t="s">
        <v>219</v>
      </c>
      <c r="C238" s="856" t="s">
        <v>220</v>
      </c>
      <c r="D238" s="857"/>
      <c r="E238" s="857"/>
      <c r="F238" s="857"/>
      <c r="G238" s="857"/>
      <c r="H238" s="858"/>
      <c r="I238" s="366" t="s">
        <v>79</v>
      </c>
      <c r="J238" s="226">
        <v>4</v>
      </c>
      <c r="K238" s="227">
        <v>98256</v>
      </c>
      <c r="L238" s="228">
        <f t="shared" si="32"/>
        <v>393024</v>
      </c>
      <c r="M238" s="196"/>
      <c r="N238" s="416"/>
      <c r="O238" s="363">
        <f t="shared" si="34"/>
        <v>0</v>
      </c>
      <c r="P238" s="249"/>
      <c r="Q238" s="358"/>
      <c r="R238" s="363">
        <f t="shared" si="35"/>
        <v>0</v>
      </c>
      <c r="S238" s="250"/>
      <c r="T238" s="234">
        <f t="shared" si="33"/>
        <v>0</v>
      </c>
      <c r="U238" s="235">
        <f t="shared" si="36"/>
        <v>0</v>
      </c>
      <c r="V238" s="822"/>
      <c r="W238" s="823"/>
      <c r="X238" s="201"/>
    </row>
    <row r="239" spans="2:24" s="190" customFormat="1" ht="15">
      <c r="B239" s="367">
        <v>7</v>
      </c>
      <c r="C239" s="938" t="s">
        <v>221</v>
      </c>
      <c r="D239" s="939"/>
      <c r="E239" s="939"/>
      <c r="F239" s="939"/>
      <c r="G239" s="939"/>
      <c r="H239" s="940"/>
      <c r="I239" s="366"/>
      <c r="J239" s="226"/>
      <c r="K239" s="227"/>
      <c r="L239" s="228">
        <f t="shared" si="32"/>
        <v>0</v>
      </c>
      <c r="M239" s="196"/>
      <c r="N239" s="416"/>
      <c r="O239" s="363">
        <f t="shared" si="34"/>
        <v>0</v>
      </c>
      <c r="P239" s="249"/>
      <c r="Q239" s="358"/>
      <c r="R239" s="363">
        <f t="shared" si="35"/>
        <v>0</v>
      </c>
      <c r="S239" s="250"/>
      <c r="T239" s="234">
        <f t="shared" si="33"/>
        <v>0</v>
      </c>
      <c r="U239" s="235">
        <f t="shared" si="36"/>
        <v>0</v>
      </c>
      <c r="V239" s="822"/>
      <c r="W239" s="823"/>
      <c r="X239" s="201"/>
    </row>
    <row r="240" spans="2:24" s="190" customFormat="1" ht="15" customHeight="1">
      <c r="B240" s="359" t="s">
        <v>88</v>
      </c>
      <c r="C240" s="856" t="s">
        <v>89</v>
      </c>
      <c r="D240" s="857"/>
      <c r="E240" s="857"/>
      <c r="F240" s="857"/>
      <c r="G240" s="857"/>
      <c r="H240" s="858"/>
      <c r="I240" s="366" t="s">
        <v>91</v>
      </c>
      <c r="J240" s="226">
        <v>6.4799999999999995</v>
      </c>
      <c r="K240" s="227">
        <v>48450</v>
      </c>
      <c r="L240" s="228">
        <f t="shared" si="32"/>
        <v>313956</v>
      </c>
      <c r="M240" s="196"/>
      <c r="N240" s="229">
        <v>6.48</v>
      </c>
      <c r="O240" s="179">
        <f>K240*N240</f>
        <v>313956</v>
      </c>
      <c r="P240" s="249"/>
      <c r="Q240" s="358"/>
      <c r="R240" s="363">
        <f t="shared" si="35"/>
        <v>0</v>
      </c>
      <c r="S240" s="250"/>
      <c r="T240" s="234">
        <f t="shared" si="33"/>
        <v>6.48</v>
      </c>
      <c r="U240" s="235">
        <f t="shared" si="36"/>
        <v>313956</v>
      </c>
      <c r="V240" s="822"/>
      <c r="W240" s="823"/>
      <c r="X240" s="201"/>
    </row>
    <row r="241" spans="2:24" s="190" customFormat="1" ht="15" customHeight="1">
      <c r="B241" s="359" t="s">
        <v>222</v>
      </c>
      <c r="C241" s="856" t="s">
        <v>270</v>
      </c>
      <c r="D241" s="857"/>
      <c r="E241" s="857"/>
      <c r="F241" s="857"/>
      <c r="G241" s="857"/>
      <c r="H241" s="858"/>
      <c r="I241" s="366" t="s">
        <v>132</v>
      </c>
      <c r="J241" s="226">
        <v>28</v>
      </c>
      <c r="K241" s="227">
        <v>53560</v>
      </c>
      <c r="L241" s="228">
        <f t="shared" si="32"/>
        <v>1499680</v>
      </c>
      <c r="M241" s="196"/>
      <c r="N241" s="229">
        <v>28</v>
      </c>
      <c r="O241" s="179">
        <f t="shared" si="34"/>
        <v>1499680</v>
      </c>
      <c r="P241" s="249"/>
      <c r="Q241" s="358"/>
      <c r="R241" s="363">
        <f t="shared" si="35"/>
        <v>0</v>
      </c>
      <c r="S241" s="250"/>
      <c r="T241" s="234">
        <f t="shared" si="33"/>
        <v>28</v>
      </c>
      <c r="U241" s="235">
        <f t="shared" si="36"/>
        <v>1499680</v>
      </c>
      <c r="V241" s="822"/>
      <c r="W241" s="823"/>
      <c r="X241" s="201"/>
    </row>
    <row r="242" spans="2:24" s="190" customFormat="1" ht="15" customHeight="1">
      <c r="B242" s="359" t="s">
        <v>224</v>
      </c>
      <c r="C242" s="856" t="s">
        <v>225</v>
      </c>
      <c r="D242" s="857"/>
      <c r="E242" s="857"/>
      <c r="F242" s="857"/>
      <c r="G242" s="857"/>
      <c r="H242" s="858"/>
      <c r="I242" s="366" t="s">
        <v>132</v>
      </c>
      <c r="J242" s="226">
        <v>6</v>
      </c>
      <c r="K242" s="227">
        <v>29412</v>
      </c>
      <c r="L242" s="228">
        <f t="shared" si="32"/>
        <v>176472</v>
      </c>
      <c r="M242" s="196"/>
      <c r="N242" s="229">
        <v>6</v>
      </c>
      <c r="O242" s="179">
        <f t="shared" si="34"/>
        <v>176472</v>
      </c>
      <c r="P242" s="249"/>
      <c r="Q242" s="358"/>
      <c r="R242" s="363">
        <f t="shared" si="35"/>
        <v>0</v>
      </c>
      <c r="S242" s="250"/>
      <c r="T242" s="234">
        <f t="shared" si="33"/>
        <v>6</v>
      </c>
      <c r="U242" s="235">
        <f t="shared" si="36"/>
        <v>176472</v>
      </c>
      <c r="V242" s="822"/>
      <c r="W242" s="823"/>
      <c r="X242" s="201"/>
    </row>
    <row r="243" spans="2:24" s="190" customFormat="1" ht="15" customHeight="1">
      <c r="B243" s="359" t="s">
        <v>226</v>
      </c>
      <c r="C243" s="905" t="s">
        <v>271</v>
      </c>
      <c r="D243" s="906"/>
      <c r="E243" s="906"/>
      <c r="F243" s="906"/>
      <c r="G243" s="906"/>
      <c r="H243" s="907"/>
      <c r="I243" s="366" t="s">
        <v>79</v>
      </c>
      <c r="J243" s="226">
        <v>6</v>
      </c>
      <c r="K243" s="227">
        <v>71514</v>
      </c>
      <c r="L243" s="228">
        <f t="shared" si="32"/>
        <v>429084</v>
      </c>
      <c r="M243" s="196"/>
      <c r="N243" s="229">
        <v>6</v>
      </c>
      <c r="O243" s="179">
        <f t="shared" si="34"/>
        <v>429084</v>
      </c>
      <c r="P243" s="249"/>
      <c r="Q243" s="358"/>
      <c r="R243" s="363">
        <f t="shared" si="35"/>
        <v>0</v>
      </c>
      <c r="S243" s="250"/>
      <c r="T243" s="234">
        <f t="shared" si="33"/>
        <v>6</v>
      </c>
      <c r="U243" s="235">
        <f t="shared" si="36"/>
        <v>429084</v>
      </c>
      <c r="V243" s="822"/>
      <c r="W243" s="823"/>
      <c r="X243" s="201"/>
    </row>
    <row r="244" spans="2:24" s="190" customFormat="1" ht="15" customHeight="1">
      <c r="B244" s="359" t="s">
        <v>228</v>
      </c>
      <c r="C244" s="856" t="s">
        <v>272</v>
      </c>
      <c r="D244" s="857"/>
      <c r="E244" s="857"/>
      <c r="F244" s="857"/>
      <c r="G244" s="857"/>
      <c r="H244" s="858"/>
      <c r="I244" s="366" t="s">
        <v>132</v>
      </c>
      <c r="J244" s="226">
        <v>40</v>
      </c>
      <c r="K244" s="227">
        <v>26208</v>
      </c>
      <c r="L244" s="228">
        <f t="shared" si="32"/>
        <v>1048320</v>
      </c>
      <c r="M244" s="196"/>
      <c r="N244" s="229"/>
      <c r="O244" s="363"/>
      <c r="P244" s="249"/>
      <c r="Q244" s="358"/>
      <c r="R244" s="363">
        <f t="shared" si="35"/>
        <v>0</v>
      </c>
      <c r="S244" s="250"/>
      <c r="T244" s="234">
        <f t="shared" si="33"/>
        <v>0</v>
      </c>
      <c r="U244" s="235">
        <f t="shared" si="36"/>
        <v>0</v>
      </c>
      <c r="V244" s="822"/>
      <c r="W244" s="823"/>
      <c r="X244" s="201"/>
    </row>
    <row r="245" spans="2:24" s="190" customFormat="1" ht="15" customHeight="1">
      <c r="B245" s="359" t="s">
        <v>230</v>
      </c>
      <c r="C245" s="856" t="s">
        <v>231</v>
      </c>
      <c r="D245" s="857"/>
      <c r="E245" s="857"/>
      <c r="F245" s="857"/>
      <c r="G245" s="857"/>
      <c r="H245" s="858"/>
      <c r="I245" s="366" t="s">
        <v>79</v>
      </c>
      <c r="J245" s="226">
        <v>4</v>
      </c>
      <c r="K245" s="227">
        <v>61343</v>
      </c>
      <c r="L245" s="228">
        <f t="shared" si="32"/>
        <v>245372</v>
      </c>
      <c r="M245" s="196"/>
      <c r="N245" s="229">
        <v>4</v>
      </c>
      <c r="O245" s="179">
        <f t="shared" si="34"/>
        <v>245372</v>
      </c>
      <c r="P245" s="249"/>
      <c r="Q245" s="358"/>
      <c r="R245" s="363">
        <f t="shared" si="35"/>
        <v>0</v>
      </c>
      <c r="S245" s="250"/>
      <c r="T245" s="234">
        <f t="shared" si="33"/>
        <v>4</v>
      </c>
      <c r="U245" s="235">
        <f t="shared" si="36"/>
        <v>245372</v>
      </c>
      <c r="V245" s="822"/>
      <c r="W245" s="823"/>
      <c r="X245" s="201"/>
    </row>
    <row r="246" spans="2:24" s="190" customFormat="1" ht="15" customHeight="1">
      <c r="B246" s="359" t="s">
        <v>232</v>
      </c>
      <c r="C246" s="905" t="s">
        <v>273</v>
      </c>
      <c r="D246" s="906"/>
      <c r="E246" s="906"/>
      <c r="F246" s="906"/>
      <c r="G246" s="906"/>
      <c r="H246" s="907"/>
      <c r="I246" s="366" t="s">
        <v>234</v>
      </c>
      <c r="J246" s="226">
        <v>2</v>
      </c>
      <c r="K246" s="227">
        <v>123149</v>
      </c>
      <c r="L246" s="228">
        <f t="shared" si="32"/>
        <v>246298</v>
      </c>
      <c r="M246" s="196"/>
      <c r="N246" s="229"/>
      <c r="O246" s="363">
        <f t="shared" si="34"/>
        <v>0</v>
      </c>
      <c r="P246" s="249"/>
      <c r="Q246" s="358"/>
      <c r="R246" s="363">
        <f t="shared" si="35"/>
        <v>0</v>
      </c>
      <c r="S246" s="250"/>
      <c r="T246" s="234">
        <f t="shared" si="33"/>
        <v>0</v>
      </c>
      <c r="U246" s="235">
        <f t="shared" si="36"/>
        <v>0</v>
      </c>
      <c r="V246" s="822"/>
      <c r="W246" s="823"/>
      <c r="X246" s="201"/>
    </row>
    <row r="247" spans="2:24" s="190" customFormat="1" ht="27.75" customHeight="1">
      <c r="B247" s="359" t="s">
        <v>235</v>
      </c>
      <c r="C247" s="856" t="s">
        <v>274</v>
      </c>
      <c r="D247" s="857"/>
      <c r="E247" s="857"/>
      <c r="F247" s="857"/>
      <c r="G247" s="857"/>
      <c r="H247" s="858"/>
      <c r="I247" s="366" t="s">
        <v>79</v>
      </c>
      <c r="J247" s="226">
        <v>1</v>
      </c>
      <c r="K247" s="227">
        <v>485705</v>
      </c>
      <c r="L247" s="228">
        <f t="shared" si="32"/>
        <v>485705</v>
      </c>
      <c r="M247" s="196"/>
      <c r="N247" s="416"/>
      <c r="O247" s="363"/>
      <c r="P247" s="249"/>
      <c r="Q247" s="358"/>
      <c r="R247" s="363">
        <f t="shared" si="35"/>
        <v>0</v>
      </c>
      <c r="S247" s="250"/>
      <c r="T247" s="234">
        <f t="shared" si="33"/>
        <v>0</v>
      </c>
      <c r="U247" s="235">
        <f t="shared" si="36"/>
        <v>0</v>
      </c>
      <c r="V247" s="822"/>
      <c r="W247" s="823"/>
      <c r="X247" s="201"/>
    </row>
    <row r="248" spans="2:24" s="190" customFormat="1" ht="27" customHeight="1">
      <c r="B248" s="359" t="s">
        <v>237</v>
      </c>
      <c r="C248" s="856" t="s">
        <v>275</v>
      </c>
      <c r="D248" s="857"/>
      <c r="E248" s="857"/>
      <c r="F248" s="857"/>
      <c r="G248" s="857"/>
      <c r="H248" s="858"/>
      <c r="I248" s="366" t="s">
        <v>79</v>
      </c>
      <c r="J248" s="226">
        <v>1</v>
      </c>
      <c r="K248" s="227">
        <v>670243</v>
      </c>
      <c r="L248" s="228">
        <f t="shared" si="32"/>
        <v>670243</v>
      </c>
      <c r="M248" s="196"/>
      <c r="N248" s="416"/>
      <c r="O248" s="363">
        <f t="shared" si="34"/>
        <v>0</v>
      </c>
      <c r="P248" s="249"/>
      <c r="Q248" s="358"/>
      <c r="R248" s="363">
        <f t="shared" si="35"/>
        <v>0</v>
      </c>
      <c r="S248" s="250"/>
      <c r="T248" s="234">
        <f t="shared" si="33"/>
        <v>0</v>
      </c>
      <c r="U248" s="235">
        <f t="shared" si="36"/>
        <v>0</v>
      </c>
      <c r="V248" s="822"/>
      <c r="W248" s="823"/>
      <c r="X248" s="201"/>
    </row>
    <row r="249" spans="2:24" s="190" customFormat="1" ht="28.5" customHeight="1">
      <c r="B249" s="359" t="s">
        <v>239</v>
      </c>
      <c r="C249" s="856" t="s">
        <v>240</v>
      </c>
      <c r="D249" s="857"/>
      <c r="E249" s="857"/>
      <c r="F249" s="857"/>
      <c r="G249" s="857"/>
      <c r="H249" s="858"/>
      <c r="I249" s="366" t="s">
        <v>79</v>
      </c>
      <c r="J249" s="226">
        <v>1</v>
      </c>
      <c r="K249" s="227">
        <v>3995311</v>
      </c>
      <c r="L249" s="228">
        <f t="shared" si="32"/>
        <v>3995311</v>
      </c>
      <c r="M249" s="196"/>
      <c r="N249" s="416"/>
      <c r="O249" s="363">
        <f t="shared" si="34"/>
        <v>0</v>
      </c>
      <c r="P249" s="249"/>
      <c r="Q249" s="358"/>
      <c r="R249" s="363">
        <f t="shared" si="35"/>
        <v>0</v>
      </c>
      <c r="S249" s="250"/>
      <c r="T249" s="234">
        <f t="shared" si="33"/>
        <v>0</v>
      </c>
      <c r="U249" s="235">
        <f t="shared" si="36"/>
        <v>0</v>
      </c>
      <c r="V249" s="822"/>
      <c r="W249" s="823"/>
      <c r="X249" s="201"/>
    </row>
    <row r="250" spans="2:24" s="190" customFormat="1" ht="21" customHeight="1">
      <c r="B250" s="367">
        <v>8</v>
      </c>
      <c r="C250" s="938" t="s">
        <v>241</v>
      </c>
      <c r="D250" s="939"/>
      <c r="E250" s="939"/>
      <c r="F250" s="939"/>
      <c r="G250" s="939"/>
      <c r="H250" s="940"/>
      <c r="I250" s="366"/>
      <c r="J250" s="226"/>
      <c r="K250" s="227"/>
      <c r="L250" s="228">
        <f t="shared" si="32"/>
        <v>0</v>
      </c>
      <c r="M250" s="196"/>
      <c r="N250" s="416"/>
      <c r="O250" s="363">
        <f t="shared" si="34"/>
        <v>0</v>
      </c>
      <c r="P250" s="249"/>
      <c r="Q250" s="358"/>
      <c r="R250" s="363">
        <f t="shared" si="35"/>
        <v>0</v>
      </c>
      <c r="S250" s="250"/>
      <c r="T250" s="234">
        <f t="shared" si="33"/>
        <v>0</v>
      </c>
      <c r="U250" s="235">
        <f t="shared" si="36"/>
        <v>0</v>
      </c>
      <c r="V250" s="822"/>
      <c r="W250" s="823"/>
      <c r="X250" s="201"/>
    </row>
    <row r="251" spans="2:24" s="190" customFormat="1" ht="36" customHeight="1">
      <c r="B251" s="359" t="s">
        <v>134</v>
      </c>
      <c r="C251" s="856" t="s">
        <v>135</v>
      </c>
      <c r="D251" s="857"/>
      <c r="E251" s="857"/>
      <c r="F251" s="857"/>
      <c r="G251" s="857"/>
      <c r="H251" s="858"/>
      <c r="I251" s="366" t="s">
        <v>234</v>
      </c>
      <c r="J251" s="226">
        <v>2</v>
      </c>
      <c r="K251" s="227">
        <v>389505</v>
      </c>
      <c r="L251" s="228">
        <f t="shared" si="32"/>
        <v>779010</v>
      </c>
      <c r="M251" s="196"/>
      <c r="N251" s="416"/>
      <c r="O251" s="363">
        <f t="shared" si="34"/>
        <v>0</v>
      </c>
      <c r="P251" s="249"/>
      <c r="Q251" s="358"/>
      <c r="R251" s="363">
        <f t="shared" si="35"/>
        <v>0</v>
      </c>
      <c r="S251" s="250"/>
      <c r="T251" s="234">
        <f t="shared" si="33"/>
        <v>0</v>
      </c>
      <c r="U251" s="235">
        <f t="shared" si="36"/>
        <v>0</v>
      </c>
      <c r="V251" s="822"/>
      <c r="W251" s="823"/>
      <c r="X251" s="201"/>
    </row>
    <row r="252" spans="2:24" s="190" customFormat="1" ht="23.25" customHeight="1">
      <c r="B252" s="359" t="s">
        <v>140</v>
      </c>
      <c r="C252" s="856" t="s">
        <v>141</v>
      </c>
      <c r="D252" s="857"/>
      <c r="E252" s="857"/>
      <c r="F252" s="857"/>
      <c r="G252" s="857"/>
      <c r="H252" s="858"/>
      <c r="I252" s="366" t="s">
        <v>234</v>
      </c>
      <c r="J252" s="226">
        <v>30</v>
      </c>
      <c r="K252" s="227">
        <v>102246</v>
      </c>
      <c r="L252" s="228">
        <f t="shared" si="32"/>
        <v>3067380</v>
      </c>
      <c r="M252" s="196"/>
      <c r="N252" s="416"/>
      <c r="O252" s="363">
        <f t="shared" si="34"/>
        <v>0</v>
      </c>
      <c r="P252" s="249"/>
      <c r="Q252" s="358"/>
      <c r="R252" s="363">
        <f t="shared" si="35"/>
        <v>0</v>
      </c>
      <c r="S252" s="250"/>
      <c r="T252" s="234">
        <f t="shared" si="33"/>
        <v>0</v>
      </c>
      <c r="U252" s="235">
        <f t="shared" si="36"/>
        <v>0</v>
      </c>
      <c r="V252" s="822"/>
      <c r="W252" s="823"/>
      <c r="X252" s="201"/>
    </row>
    <row r="253" spans="2:24" s="190" customFormat="1" ht="23.25" customHeight="1">
      <c r="B253" s="359" t="s">
        <v>136</v>
      </c>
      <c r="C253" s="856" t="s">
        <v>137</v>
      </c>
      <c r="D253" s="857"/>
      <c r="E253" s="857"/>
      <c r="F253" s="857"/>
      <c r="G253" s="857"/>
      <c r="H253" s="858"/>
      <c r="I253" s="366" t="s">
        <v>79</v>
      </c>
      <c r="J253" s="226">
        <v>6</v>
      </c>
      <c r="K253" s="227">
        <v>112028</v>
      </c>
      <c r="L253" s="228">
        <f t="shared" si="32"/>
        <v>672168</v>
      </c>
      <c r="M253" s="196"/>
      <c r="N253" s="416"/>
      <c r="O253" s="363">
        <f t="shared" si="34"/>
        <v>0</v>
      </c>
      <c r="P253" s="249"/>
      <c r="Q253" s="358"/>
      <c r="R253" s="363">
        <f t="shared" si="35"/>
        <v>0</v>
      </c>
      <c r="S253" s="250"/>
      <c r="T253" s="234">
        <f t="shared" si="33"/>
        <v>0</v>
      </c>
      <c r="U253" s="235">
        <f t="shared" si="36"/>
        <v>0</v>
      </c>
      <c r="V253" s="822"/>
      <c r="W253" s="823"/>
      <c r="X253" s="201"/>
    </row>
    <row r="254" spans="2:24" s="190" customFormat="1" ht="23.25" customHeight="1">
      <c r="B254" s="359" t="s">
        <v>242</v>
      </c>
      <c r="C254" s="856" t="s">
        <v>243</v>
      </c>
      <c r="D254" s="857"/>
      <c r="E254" s="857"/>
      <c r="F254" s="857"/>
      <c r="G254" s="857"/>
      <c r="H254" s="858"/>
      <c r="I254" s="366" t="s">
        <v>79</v>
      </c>
      <c r="J254" s="226">
        <v>6</v>
      </c>
      <c r="K254" s="227">
        <v>98013</v>
      </c>
      <c r="L254" s="228">
        <f t="shared" si="32"/>
        <v>588078</v>
      </c>
      <c r="M254" s="196"/>
      <c r="N254" s="416"/>
      <c r="O254" s="363">
        <f t="shared" si="34"/>
        <v>0</v>
      </c>
      <c r="P254" s="249"/>
      <c r="Q254" s="358"/>
      <c r="R254" s="363">
        <f t="shared" si="35"/>
        <v>0</v>
      </c>
      <c r="S254" s="250"/>
      <c r="T254" s="234">
        <f t="shared" si="33"/>
        <v>0</v>
      </c>
      <c r="U254" s="235">
        <f t="shared" si="36"/>
        <v>0</v>
      </c>
      <c r="V254" s="822"/>
      <c r="W254" s="823"/>
      <c r="X254" s="201"/>
    </row>
    <row r="255" spans="2:24" s="190" customFormat="1" ht="23.25" customHeight="1">
      <c r="B255" s="359" t="s">
        <v>276</v>
      </c>
      <c r="C255" s="905" t="s">
        <v>277</v>
      </c>
      <c r="D255" s="906"/>
      <c r="E255" s="906"/>
      <c r="F255" s="906"/>
      <c r="G255" s="906"/>
      <c r="H255" s="907"/>
      <c r="I255" s="366" t="s">
        <v>234</v>
      </c>
      <c r="J255" s="226">
        <v>29</v>
      </c>
      <c r="K255" s="227">
        <v>115242</v>
      </c>
      <c r="L255" s="228">
        <f t="shared" si="32"/>
        <v>3342018</v>
      </c>
      <c r="M255" s="196"/>
      <c r="N255" s="416"/>
      <c r="O255" s="363">
        <f t="shared" si="34"/>
        <v>0</v>
      </c>
      <c r="P255" s="249"/>
      <c r="Q255" s="358"/>
      <c r="R255" s="363">
        <f t="shared" si="35"/>
        <v>0</v>
      </c>
      <c r="S255" s="250"/>
      <c r="T255" s="234">
        <f t="shared" si="33"/>
        <v>0</v>
      </c>
      <c r="U255" s="235">
        <f t="shared" si="36"/>
        <v>0</v>
      </c>
      <c r="V255" s="822"/>
      <c r="W255" s="823"/>
      <c r="X255" s="201"/>
    </row>
    <row r="256" spans="2:24" s="190" customFormat="1" ht="60" customHeight="1">
      <c r="B256" s="359" t="s">
        <v>142</v>
      </c>
      <c r="C256" s="905" t="s">
        <v>143</v>
      </c>
      <c r="D256" s="906"/>
      <c r="E256" s="906"/>
      <c r="F256" s="906"/>
      <c r="G256" s="906"/>
      <c r="H256" s="907"/>
      <c r="I256" s="366" t="s">
        <v>79</v>
      </c>
      <c r="J256" s="226">
        <v>29</v>
      </c>
      <c r="K256" s="227">
        <v>237008</v>
      </c>
      <c r="L256" s="228">
        <f t="shared" si="32"/>
        <v>6873232</v>
      </c>
      <c r="M256" s="196"/>
      <c r="N256" s="416"/>
      <c r="O256" s="363">
        <f t="shared" si="34"/>
        <v>0</v>
      </c>
      <c r="P256" s="249"/>
      <c r="Q256" s="358"/>
      <c r="R256" s="363">
        <f t="shared" si="35"/>
        <v>0</v>
      </c>
      <c r="S256" s="250"/>
      <c r="T256" s="234">
        <f t="shared" si="33"/>
        <v>0</v>
      </c>
      <c r="U256" s="235">
        <f t="shared" si="36"/>
        <v>0</v>
      </c>
      <c r="V256" s="822"/>
      <c r="W256" s="823"/>
      <c r="X256" s="201"/>
    </row>
    <row r="257" spans="2:28" s="190" customFormat="1" ht="26.25" customHeight="1">
      <c r="B257" s="359" t="s">
        <v>228</v>
      </c>
      <c r="C257" s="905" t="s">
        <v>272</v>
      </c>
      <c r="D257" s="906"/>
      <c r="E257" s="906"/>
      <c r="F257" s="906"/>
      <c r="G257" s="906"/>
      <c r="H257" s="907"/>
      <c r="I257" s="366" t="s">
        <v>132</v>
      </c>
      <c r="J257" s="226">
        <v>125.28</v>
      </c>
      <c r="K257" s="227">
        <v>17604</v>
      </c>
      <c r="L257" s="228">
        <f t="shared" si="32"/>
        <v>2205429.12</v>
      </c>
      <c r="M257" s="196"/>
      <c r="N257" s="416"/>
      <c r="O257" s="363">
        <f t="shared" si="34"/>
        <v>0</v>
      </c>
      <c r="P257" s="249"/>
      <c r="Q257" s="358"/>
      <c r="R257" s="363">
        <f t="shared" si="35"/>
        <v>0</v>
      </c>
      <c r="S257" s="250"/>
      <c r="T257" s="234">
        <f t="shared" si="33"/>
        <v>0</v>
      </c>
      <c r="U257" s="235">
        <f t="shared" si="36"/>
        <v>0</v>
      </c>
      <c r="V257" s="822"/>
      <c r="W257" s="823"/>
      <c r="X257" s="201"/>
    </row>
    <row r="258" spans="2:28" s="190" customFormat="1" ht="23.25" customHeight="1">
      <c r="B258" s="359" t="s">
        <v>246</v>
      </c>
      <c r="C258" s="856" t="s">
        <v>247</v>
      </c>
      <c r="D258" s="857"/>
      <c r="E258" s="857"/>
      <c r="F258" s="857"/>
      <c r="G258" s="857"/>
      <c r="H258" s="858"/>
      <c r="I258" s="366" t="s">
        <v>79</v>
      </c>
      <c r="J258" s="226">
        <v>1</v>
      </c>
      <c r="K258" s="227">
        <v>1142729</v>
      </c>
      <c r="L258" s="228">
        <f t="shared" si="32"/>
        <v>1142729</v>
      </c>
      <c r="M258" s="196"/>
      <c r="N258" s="416"/>
      <c r="O258" s="363">
        <f t="shared" si="34"/>
        <v>0</v>
      </c>
      <c r="P258" s="249"/>
      <c r="Q258" s="358"/>
      <c r="R258" s="363">
        <f t="shared" si="35"/>
        <v>0</v>
      </c>
      <c r="S258" s="250"/>
      <c r="T258" s="234">
        <f t="shared" si="33"/>
        <v>0</v>
      </c>
      <c r="U258" s="235">
        <f t="shared" si="36"/>
        <v>0</v>
      </c>
      <c r="V258" s="822"/>
      <c r="W258" s="823"/>
      <c r="X258" s="201"/>
    </row>
    <row r="259" spans="2:28" s="190" customFormat="1" ht="24.75" customHeight="1">
      <c r="B259" s="367">
        <v>9</v>
      </c>
      <c r="C259" s="938" t="s">
        <v>248</v>
      </c>
      <c r="D259" s="939"/>
      <c r="E259" s="939"/>
      <c r="F259" s="939"/>
      <c r="G259" s="939"/>
      <c r="H259" s="940"/>
      <c r="I259" s="366"/>
      <c r="J259" s="226"/>
      <c r="K259" s="227"/>
      <c r="L259" s="228">
        <f t="shared" si="32"/>
        <v>0</v>
      </c>
      <c r="M259" s="196"/>
      <c r="N259" s="416"/>
      <c r="O259" s="363">
        <f t="shared" si="34"/>
        <v>0</v>
      </c>
      <c r="P259" s="249"/>
      <c r="Q259" s="358"/>
      <c r="R259" s="363">
        <f t="shared" si="35"/>
        <v>0</v>
      </c>
      <c r="S259" s="250"/>
      <c r="T259" s="234">
        <f t="shared" si="33"/>
        <v>0</v>
      </c>
      <c r="U259" s="235">
        <f t="shared" si="36"/>
        <v>0</v>
      </c>
      <c r="V259" s="822"/>
      <c r="W259" s="823"/>
      <c r="X259" s="201"/>
    </row>
    <row r="260" spans="2:28" s="190" customFormat="1" ht="26.25" customHeight="1">
      <c r="B260" s="359" t="s">
        <v>249</v>
      </c>
      <c r="C260" s="856" t="s">
        <v>250</v>
      </c>
      <c r="D260" s="857"/>
      <c r="E260" s="857"/>
      <c r="F260" s="857"/>
      <c r="G260" s="857"/>
      <c r="H260" s="858"/>
      <c r="I260" s="366" t="s">
        <v>71</v>
      </c>
      <c r="J260" s="226">
        <v>19.2</v>
      </c>
      <c r="K260" s="227">
        <v>245196</v>
      </c>
      <c r="L260" s="228">
        <f t="shared" si="32"/>
        <v>4707763.2</v>
      </c>
      <c r="M260" s="196"/>
      <c r="N260" s="416"/>
      <c r="O260" s="363">
        <f t="shared" si="34"/>
        <v>0</v>
      </c>
      <c r="P260" s="249"/>
      <c r="Q260" s="358"/>
      <c r="R260" s="363">
        <f t="shared" si="35"/>
        <v>0</v>
      </c>
      <c r="S260" s="250"/>
      <c r="T260" s="234">
        <f t="shared" si="33"/>
        <v>0</v>
      </c>
      <c r="U260" s="235">
        <f t="shared" si="36"/>
        <v>0</v>
      </c>
      <c r="V260" s="822"/>
      <c r="W260" s="823"/>
      <c r="X260" s="201"/>
    </row>
    <row r="261" spans="2:28" s="190" customFormat="1" ht="29.25" customHeight="1">
      <c r="B261" s="359" t="s">
        <v>166</v>
      </c>
      <c r="C261" s="856" t="s">
        <v>167</v>
      </c>
      <c r="D261" s="857"/>
      <c r="E261" s="857"/>
      <c r="F261" s="857"/>
      <c r="G261" s="857"/>
      <c r="H261" s="858"/>
      <c r="I261" s="366" t="s">
        <v>71</v>
      </c>
      <c r="J261" s="226">
        <v>19.2</v>
      </c>
      <c r="K261" s="227">
        <v>113214</v>
      </c>
      <c r="L261" s="228">
        <f t="shared" si="32"/>
        <v>2173708.7999999998</v>
      </c>
      <c r="M261" s="196"/>
      <c r="N261" s="416"/>
      <c r="O261" s="363">
        <f t="shared" si="34"/>
        <v>0</v>
      </c>
      <c r="P261" s="249"/>
      <c r="Q261" s="358"/>
      <c r="R261" s="363">
        <f t="shared" si="35"/>
        <v>0</v>
      </c>
      <c r="S261" s="250"/>
      <c r="T261" s="234">
        <f t="shared" si="33"/>
        <v>0</v>
      </c>
      <c r="U261" s="235">
        <f t="shared" si="36"/>
        <v>0</v>
      </c>
      <c r="V261" s="822"/>
      <c r="W261" s="823"/>
      <c r="X261" s="201"/>
    </row>
    <row r="262" spans="2:28" s="190" customFormat="1" ht="23.25" customHeight="1">
      <c r="B262" s="359" t="s">
        <v>162</v>
      </c>
      <c r="C262" s="856" t="s">
        <v>163</v>
      </c>
      <c r="D262" s="857"/>
      <c r="E262" s="857"/>
      <c r="F262" s="857"/>
      <c r="G262" s="857"/>
      <c r="H262" s="858"/>
      <c r="I262" s="366" t="s">
        <v>71</v>
      </c>
      <c r="J262" s="226">
        <v>10</v>
      </c>
      <c r="K262" s="227">
        <v>422186</v>
      </c>
      <c r="L262" s="228">
        <f t="shared" si="32"/>
        <v>4221860</v>
      </c>
      <c r="M262" s="196"/>
      <c r="N262" s="416"/>
      <c r="O262" s="363">
        <f t="shared" si="34"/>
        <v>0</v>
      </c>
      <c r="P262" s="249"/>
      <c r="Q262" s="358"/>
      <c r="R262" s="363">
        <f t="shared" si="35"/>
        <v>0</v>
      </c>
      <c r="S262" s="250"/>
      <c r="T262" s="234">
        <f t="shared" si="33"/>
        <v>0</v>
      </c>
      <c r="U262" s="235">
        <f t="shared" si="36"/>
        <v>0</v>
      </c>
      <c r="V262" s="822"/>
      <c r="W262" s="823"/>
      <c r="X262" s="201"/>
    </row>
    <row r="263" spans="2:28" s="190" customFormat="1" ht="21" customHeight="1">
      <c r="B263" s="359" t="s">
        <v>159</v>
      </c>
      <c r="C263" s="905" t="s">
        <v>160</v>
      </c>
      <c r="D263" s="906"/>
      <c r="E263" s="906"/>
      <c r="F263" s="906"/>
      <c r="G263" s="906"/>
      <c r="H263" s="907"/>
      <c r="I263" s="366" t="s">
        <v>71</v>
      </c>
      <c r="J263" s="226">
        <v>48.4</v>
      </c>
      <c r="K263" s="264">
        <v>18312</v>
      </c>
      <c r="L263" s="228">
        <f t="shared" si="32"/>
        <v>886300.79999999993</v>
      </c>
      <c r="M263" s="196"/>
      <c r="N263" s="416"/>
      <c r="O263" s="363">
        <f t="shared" si="34"/>
        <v>0</v>
      </c>
      <c r="P263" s="249"/>
      <c r="Q263" s="358"/>
      <c r="R263" s="363">
        <f t="shared" si="35"/>
        <v>0</v>
      </c>
      <c r="S263" s="250"/>
      <c r="T263" s="234">
        <f t="shared" si="33"/>
        <v>0</v>
      </c>
      <c r="U263" s="235">
        <f t="shared" si="36"/>
        <v>0</v>
      </c>
      <c r="V263" s="822"/>
      <c r="W263" s="823"/>
      <c r="X263" s="201"/>
    </row>
    <row r="264" spans="2:28" s="190" customFormat="1" ht="24.75" customHeight="1">
      <c r="B264" s="367">
        <v>10</v>
      </c>
      <c r="C264" s="938" t="s">
        <v>251</v>
      </c>
      <c r="D264" s="939"/>
      <c r="E264" s="939"/>
      <c r="F264" s="939"/>
      <c r="G264" s="939"/>
      <c r="H264" s="940"/>
      <c r="I264" s="366"/>
      <c r="J264" s="226"/>
      <c r="K264" s="227"/>
      <c r="L264" s="228">
        <f t="shared" si="32"/>
        <v>0</v>
      </c>
      <c r="M264" s="196"/>
      <c r="N264" s="416"/>
      <c r="O264" s="363">
        <f t="shared" si="34"/>
        <v>0</v>
      </c>
      <c r="P264" s="249"/>
      <c r="Q264" s="358"/>
      <c r="R264" s="363">
        <f t="shared" si="35"/>
        <v>0</v>
      </c>
      <c r="S264" s="250"/>
      <c r="T264" s="234">
        <f t="shared" si="33"/>
        <v>0</v>
      </c>
      <c r="U264" s="235">
        <f t="shared" si="36"/>
        <v>0</v>
      </c>
      <c r="V264" s="822"/>
      <c r="W264" s="823"/>
      <c r="X264" s="201"/>
    </row>
    <row r="265" spans="2:28" s="190" customFormat="1" ht="29.25" customHeight="1">
      <c r="B265" s="359" t="s">
        <v>170</v>
      </c>
      <c r="C265" s="905" t="s">
        <v>252</v>
      </c>
      <c r="D265" s="906"/>
      <c r="E265" s="906"/>
      <c r="F265" s="906"/>
      <c r="G265" s="906"/>
      <c r="H265" s="907"/>
      <c r="I265" s="366" t="s">
        <v>132</v>
      </c>
      <c r="J265" s="226">
        <v>87.4</v>
      </c>
      <c r="K265" s="227">
        <v>2741</v>
      </c>
      <c r="L265" s="228">
        <f t="shared" si="32"/>
        <v>239563.40000000002</v>
      </c>
      <c r="M265" s="196"/>
      <c r="N265" s="416"/>
      <c r="O265" s="363">
        <f t="shared" si="34"/>
        <v>0</v>
      </c>
      <c r="P265" s="249"/>
      <c r="Q265" s="358"/>
      <c r="R265" s="363">
        <f t="shared" si="35"/>
        <v>0</v>
      </c>
      <c r="S265" s="250"/>
      <c r="T265" s="234">
        <f t="shared" si="33"/>
        <v>0</v>
      </c>
      <c r="U265" s="235">
        <f t="shared" si="36"/>
        <v>0</v>
      </c>
      <c r="V265" s="822"/>
      <c r="W265" s="823"/>
      <c r="X265" s="201"/>
    </row>
    <row r="266" spans="2:28" s="190" customFormat="1" ht="27.75" customHeight="1">
      <c r="B266" s="367">
        <v>11</v>
      </c>
      <c r="C266" s="938" t="s">
        <v>172</v>
      </c>
      <c r="D266" s="939"/>
      <c r="E266" s="939"/>
      <c r="F266" s="939"/>
      <c r="G266" s="939"/>
      <c r="H266" s="940"/>
      <c r="I266" s="366" t="s">
        <v>79</v>
      </c>
      <c r="J266" s="226"/>
      <c r="K266" s="227"/>
      <c r="L266" s="228">
        <f t="shared" si="32"/>
        <v>0</v>
      </c>
      <c r="M266" s="196"/>
      <c r="N266" s="416"/>
      <c r="O266" s="363">
        <f t="shared" si="34"/>
        <v>0</v>
      </c>
      <c r="P266" s="249"/>
      <c r="Q266" s="358"/>
      <c r="R266" s="363">
        <f t="shared" si="35"/>
        <v>0</v>
      </c>
      <c r="S266" s="250"/>
      <c r="T266" s="234">
        <f t="shared" si="33"/>
        <v>0</v>
      </c>
      <c r="U266" s="235">
        <f t="shared" si="36"/>
        <v>0</v>
      </c>
      <c r="V266" s="822"/>
      <c r="W266" s="823"/>
      <c r="X266" s="201"/>
    </row>
    <row r="267" spans="2:28" s="190" customFormat="1" ht="26.25" customHeight="1">
      <c r="B267" s="359" t="s">
        <v>173</v>
      </c>
      <c r="C267" s="856" t="s">
        <v>174</v>
      </c>
      <c r="D267" s="857"/>
      <c r="E267" s="857"/>
      <c r="F267" s="857"/>
      <c r="G267" s="857"/>
      <c r="H267" s="858"/>
      <c r="I267" s="366"/>
      <c r="J267" s="226">
        <v>7253.13</v>
      </c>
      <c r="K267" s="227">
        <v>3812</v>
      </c>
      <c r="L267" s="228">
        <f t="shared" si="32"/>
        <v>27648931.559999999</v>
      </c>
      <c r="M267" s="196"/>
      <c r="N267" s="229">
        <v>4088.5998426023084</v>
      </c>
      <c r="O267" s="363">
        <f>K267*N267</f>
        <v>15585742.6</v>
      </c>
      <c r="P267" s="249"/>
      <c r="Q267" s="358">
        <v>1836.8035377451399</v>
      </c>
      <c r="R267" s="179">
        <f t="shared" si="35"/>
        <v>7001895.0858844733</v>
      </c>
      <c r="S267" s="250"/>
      <c r="T267" s="234">
        <f t="shared" ref="T267:T276" si="37">N267+Q267</f>
        <v>5925.4033803474485</v>
      </c>
      <c r="U267" s="235">
        <f t="shared" si="36"/>
        <v>22587637.685884476</v>
      </c>
      <c r="V267" s="822"/>
      <c r="W267" s="823"/>
      <c r="X267" s="201"/>
      <c r="AA267" s="313">
        <v>15585742.600000009</v>
      </c>
      <c r="AB267" s="190">
        <v>9422907.7170241997</v>
      </c>
    </row>
    <row r="268" spans="2:28" s="190" customFormat="1" ht="22.5" customHeight="1">
      <c r="B268" s="367">
        <v>12</v>
      </c>
      <c r="C268" s="938" t="s">
        <v>278</v>
      </c>
      <c r="D268" s="939"/>
      <c r="E268" s="939"/>
      <c r="F268" s="939"/>
      <c r="G268" s="939"/>
      <c r="H268" s="940"/>
      <c r="I268" s="366"/>
      <c r="J268" s="226"/>
      <c r="K268" s="227"/>
      <c r="L268" s="228">
        <f t="shared" si="32"/>
        <v>0</v>
      </c>
      <c r="M268" s="196"/>
      <c r="N268" s="416"/>
      <c r="O268" s="363">
        <f t="shared" si="34"/>
        <v>0</v>
      </c>
      <c r="P268" s="249"/>
      <c r="Q268" s="358"/>
      <c r="R268" s="363">
        <f t="shared" si="35"/>
        <v>0</v>
      </c>
      <c r="S268" s="250"/>
      <c r="T268" s="234">
        <f t="shared" si="37"/>
        <v>0</v>
      </c>
      <c r="U268" s="235">
        <f t="shared" si="36"/>
        <v>0</v>
      </c>
      <c r="V268" s="822"/>
      <c r="W268" s="823"/>
      <c r="X268" s="201"/>
      <c r="AA268" s="417"/>
    </row>
    <row r="269" spans="2:28" s="190" customFormat="1" ht="30" customHeight="1">
      <c r="B269" s="359" t="s">
        <v>279</v>
      </c>
      <c r="C269" s="905" t="s">
        <v>280</v>
      </c>
      <c r="D269" s="906"/>
      <c r="E269" s="906"/>
      <c r="F269" s="906"/>
      <c r="G269" s="906"/>
      <c r="H269" s="907"/>
      <c r="I269" s="366" t="s">
        <v>71</v>
      </c>
      <c r="J269" s="226">
        <v>119</v>
      </c>
      <c r="K269" s="227">
        <v>12377</v>
      </c>
      <c r="L269" s="228">
        <f t="shared" si="32"/>
        <v>1472863</v>
      </c>
      <c r="M269" s="196"/>
      <c r="N269" s="416"/>
      <c r="O269" s="363">
        <f t="shared" ref="O269:O276" si="38">K269*N269</f>
        <v>0</v>
      </c>
      <c r="P269" s="249"/>
      <c r="Q269" s="358"/>
      <c r="R269" s="363">
        <f t="shared" si="35"/>
        <v>0</v>
      </c>
      <c r="S269" s="250"/>
      <c r="T269" s="234">
        <f t="shared" si="37"/>
        <v>0</v>
      </c>
      <c r="U269" s="235">
        <f t="shared" ref="U269:U276" si="39">T269*K269</f>
        <v>0</v>
      </c>
      <c r="V269" s="822"/>
      <c r="W269" s="823"/>
      <c r="X269" s="201"/>
      <c r="AB269" s="313">
        <f>AA267-AB267</f>
        <v>6162834.8829758093</v>
      </c>
    </row>
    <row r="270" spans="2:28" s="190" customFormat="1" ht="30" customHeight="1">
      <c r="B270" s="359" t="s">
        <v>281</v>
      </c>
      <c r="C270" s="905" t="s">
        <v>282</v>
      </c>
      <c r="D270" s="906"/>
      <c r="E270" s="906"/>
      <c r="F270" s="906"/>
      <c r="G270" s="906"/>
      <c r="H270" s="907"/>
      <c r="I270" s="366" t="s">
        <v>71</v>
      </c>
      <c r="J270" s="226">
        <v>134.88</v>
      </c>
      <c r="K270" s="227">
        <v>5194</v>
      </c>
      <c r="L270" s="228">
        <f t="shared" si="32"/>
        <v>700566.72</v>
      </c>
      <c r="M270" s="196"/>
      <c r="N270" s="416"/>
      <c r="O270" s="363">
        <f t="shared" si="38"/>
        <v>0</v>
      </c>
      <c r="P270" s="249"/>
      <c r="Q270" s="358"/>
      <c r="R270" s="363">
        <f t="shared" ref="R270:R276" si="40">Q270*K270</f>
        <v>0</v>
      </c>
      <c r="S270" s="250"/>
      <c r="T270" s="234">
        <f t="shared" si="37"/>
        <v>0</v>
      </c>
      <c r="U270" s="235">
        <f t="shared" si="39"/>
        <v>0</v>
      </c>
      <c r="V270" s="822"/>
      <c r="W270" s="823"/>
      <c r="X270" s="201"/>
    </row>
    <row r="271" spans="2:28" s="190" customFormat="1" ht="30" customHeight="1">
      <c r="B271" s="359" t="s">
        <v>283</v>
      </c>
      <c r="C271" s="856" t="s">
        <v>284</v>
      </c>
      <c r="D271" s="857"/>
      <c r="E271" s="857"/>
      <c r="F271" s="857"/>
      <c r="G271" s="857"/>
      <c r="H271" s="858"/>
      <c r="I271" s="366" t="s">
        <v>71</v>
      </c>
      <c r="J271" s="226">
        <v>175.68</v>
      </c>
      <c r="K271" s="227">
        <v>4291</v>
      </c>
      <c r="L271" s="228">
        <f t="shared" si="32"/>
        <v>753842.88</v>
      </c>
      <c r="M271" s="196"/>
      <c r="N271" s="416"/>
      <c r="O271" s="363">
        <f t="shared" si="38"/>
        <v>0</v>
      </c>
      <c r="P271" s="249"/>
      <c r="Q271" s="358"/>
      <c r="R271" s="363">
        <f t="shared" si="40"/>
        <v>0</v>
      </c>
      <c r="S271" s="250"/>
      <c r="T271" s="234">
        <f t="shared" si="37"/>
        <v>0</v>
      </c>
      <c r="U271" s="235">
        <f t="shared" si="39"/>
        <v>0</v>
      </c>
      <c r="V271" s="822"/>
      <c r="W271" s="823"/>
      <c r="X271" s="201"/>
    </row>
    <row r="272" spans="2:28" s="190" customFormat="1" ht="30" customHeight="1">
      <c r="B272" s="359" t="s">
        <v>130</v>
      </c>
      <c r="C272" s="856" t="s">
        <v>131</v>
      </c>
      <c r="D272" s="857"/>
      <c r="E272" s="857"/>
      <c r="F272" s="857"/>
      <c r="G272" s="857"/>
      <c r="H272" s="858"/>
      <c r="I272" s="366" t="s">
        <v>132</v>
      </c>
      <c r="J272" s="226">
        <v>102</v>
      </c>
      <c r="K272" s="227">
        <v>8274</v>
      </c>
      <c r="L272" s="228">
        <f t="shared" si="32"/>
        <v>843948</v>
      </c>
      <c r="M272" s="196"/>
      <c r="N272" s="416"/>
      <c r="O272" s="363">
        <f t="shared" si="38"/>
        <v>0</v>
      </c>
      <c r="P272" s="249"/>
      <c r="Q272" s="358"/>
      <c r="R272" s="363">
        <f t="shared" si="40"/>
        <v>0</v>
      </c>
      <c r="S272" s="250"/>
      <c r="T272" s="234">
        <f t="shared" si="37"/>
        <v>0</v>
      </c>
      <c r="U272" s="235">
        <f t="shared" si="39"/>
        <v>0</v>
      </c>
      <c r="V272" s="822"/>
      <c r="W272" s="823"/>
      <c r="X272" s="201"/>
    </row>
    <row r="273" spans="1:28" s="190" customFormat="1" ht="30" customHeight="1">
      <c r="B273" s="359" t="s">
        <v>159</v>
      </c>
      <c r="C273" s="856" t="s">
        <v>160</v>
      </c>
      <c r="D273" s="857"/>
      <c r="E273" s="857"/>
      <c r="F273" s="857"/>
      <c r="G273" s="857"/>
      <c r="H273" s="858"/>
      <c r="I273" s="368" t="s">
        <v>132</v>
      </c>
      <c r="J273" s="226">
        <v>30.400000000000002</v>
      </c>
      <c r="K273" s="227">
        <v>18312</v>
      </c>
      <c r="L273" s="228">
        <f t="shared" si="32"/>
        <v>556684.80000000005</v>
      </c>
      <c r="M273" s="196"/>
      <c r="N273" s="416"/>
      <c r="O273" s="363">
        <f t="shared" si="38"/>
        <v>0</v>
      </c>
      <c r="P273" s="249"/>
      <c r="Q273" s="358"/>
      <c r="R273" s="363">
        <f t="shared" si="40"/>
        <v>0</v>
      </c>
      <c r="S273" s="250"/>
      <c r="T273" s="234">
        <f t="shared" si="37"/>
        <v>0</v>
      </c>
      <c r="U273" s="235">
        <f t="shared" si="39"/>
        <v>0</v>
      </c>
      <c r="V273" s="822"/>
      <c r="W273" s="823"/>
      <c r="X273" s="201"/>
      <c r="AA273" s="313">
        <f>O277-AB277</f>
        <v>57883575.972975798</v>
      </c>
    </row>
    <row r="274" spans="1:28" s="190" customFormat="1" ht="30" customHeight="1">
      <c r="B274" s="359" t="s">
        <v>121</v>
      </c>
      <c r="C274" s="956" t="s">
        <v>122</v>
      </c>
      <c r="D274" s="957"/>
      <c r="E274" s="957"/>
      <c r="F274" s="957"/>
      <c r="G274" s="957"/>
      <c r="H274" s="958"/>
      <c r="I274" s="359" t="s">
        <v>71</v>
      </c>
      <c r="J274" s="226">
        <v>487.23240780227877</v>
      </c>
      <c r="K274" s="227">
        <v>15973</v>
      </c>
      <c r="L274" s="228">
        <f t="shared" si="32"/>
        <v>7782563.2498257989</v>
      </c>
      <c r="M274" s="196"/>
      <c r="N274" s="416"/>
      <c r="O274" s="363">
        <f t="shared" si="38"/>
        <v>0</v>
      </c>
      <c r="P274" s="249"/>
      <c r="Q274" s="358"/>
      <c r="R274" s="363">
        <f t="shared" si="40"/>
        <v>0</v>
      </c>
      <c r="S274" s="250"/>
      <c r="T274" s="234">
        <f t="shared" si="37"/>
        <v>0</v>
      </c>
      <c r="U274" s="235">
        <f t="shared" si="39"/>
        <v>0</v>
      </c>
      <c r="V274" s="822"/>
      <c r="W274" s="823"/>
      <c r="X274" s="201"/>
    </row>
    <row r="275" spans="1:28" s="190" customFormat="1" ht="30" customHeight="1">
      <c r="B275" s="365" t="s">
        <v>285</v>
      </c>
      <c r="C275" s="959" t="s">
        <v>286</v>
      </c>
      <c r="D275" s="960"/>
      <c r="E275" s="960"/>
      <c r="F275" s="960"/>
      <c r="G275" s="960"/>
      <c r="H275" s="961"/>
      <c r="I275" s="365" t="s">
        <v>71</v>
      </c>
      <c r="J275" s="226">
        <v>34.6</v>
      </c>
      <c r="K275" s="227">
        <v>27048</v>
      </c>
      <c r="L275" s="228">
        <f t="shared" si="32"/>
        <v>935860.8</v>
      </c>
      <c r="M275" s="196"/>
      <c r="N275" s="416"/>
      <c r="O275" s="363">
        <f t="shared" si="38"/>
        <v>0</v>
      </c>
      <c r="P275" s="249"/>
      <c r="Q275" s="358"/>
      <c r="R275" s="363">
        <f t="shared" si="40"/>
        <v>0</v>
      </c>
      <c r="S275" s="250"/>
      <c r="T275" s="234">
        <f t="shared" si="37"/>
        <v>0</v>
      </c>
      <c r="U275" s="235">
        <f t="shared" si="39"/>
        <v>0</v>
      </c>
      <c r="V275" s="822"/>
      <c r="W275" s="823"/>
      <c r="X275" s="201"/>
      <c r="AA275" s="190">
        <v>67306483.69303</v>
      </c>
    </row>
    <row r="276" spans="1:28" s="190" customFormat="1" ht="24" customHeight="1">
      <c r="B276" s="365" t="s">
        <v>287</v>
      </c>
      <c r="C276" s="856" t="s">
        <v>288</v>
      </c>
      <c r="D276" s="857"/>
      <c r="E276" s="857"/>
      <c r="F276" s="857"/>
      <c r="G276" s="857"/>
      <c r="H276" s="858"/>
      <c r="I276" s="365" t="s">
        <v>71</v>
      </c>
      <c r="J276" s="226">
        <v>20.399999999999999</v>
      </c>
      <c r="K276" s="227">
        <v>73318</v>
      </c>
      <c r="L276" s="228">
        <f t="shared" si="32"/>
        <v>1495687.2</v>
      </c>
      <c r="M276" s="196"/>
      <c r="N276" s="416"/>
      <c r="O276" s="363">
        <f t="shared" si="38"/>
        <v>0</v>
      </c>
      <c r="P276" s="249"/>
      <c r="Q276" s="358"/>
      <c r="R276" s="363">
        <f t="shared" si="40"/>
        <v>0</v>
      </c>
      <c r="S276" s="250"/>
      <c r="T276" s="234">
        <f t="shared" si="37"/>
        <v>0</v>
      </c>
      <c r="U276" s="235">
        <f t="shared" si="39"/>
        <v>0</v>
      </c>
      <c r="V276" s="822"/>
      <c r="W276" s="823"/>
      <c r="X276" s="201"/>
    </row>
    <row r="277" spans="1:28" s="190" customFormat="1" ht="29.25" customHeight="1">
      <c r="A277" s="150"/>
      <c r="B277" s="280"/>
      <c r="C277" s="418" t="s">
        <v>289</v>
      </c>
      <c r="D277" s="418"/>
      <c r="E277" s="418"/>
      <c r="F277" s="418"/>
      <c r="G277" s="418"/>
      <c r="H277" s="419"/>
      <c r="I277" s="281"/>
      <c r="J277" s="282"/>
      <c r="K277" s="283"/>
      <c r="L277" s="379">
        <f>SUM(L204:L276)</f>
        <v>228663591.53999999</v>
      </c>
      <c r="M277" s="196"/>
      <c r="N277" s="380"/>
      <c r="O277" s="381">
        <f>SUM(O204:O276)-0.01</f>
        <v>67306483.689999998</v>
      </c>
      <c r="P277" s="249"/>
      <c r="Q277" s="382"/>
      <c r="R277" s="420">
        <f>SUM(R204:R276)</f>
        <v>30886686.995884474</v>
      </c>
      <c r="S277" s="249"/>
      <c r="T277" s="383">
        <f>+N277+Q277</f>
        <v>0</v>
      </c>
      <c r="U277" s="381">
        <f>+SUM(U204:U276)</f>
        <v>96426046.345884472</v>
      </c>
      <c r="V277" s="822"/>
      <c r="W277" s="823"/>
      <c r="X277" s="384"/>
      <c r="AA277" s="190">
        <v>14</v>
      </c>
      <c r="AB277" s="190">
        <f>(AA275*14)/100</f>
        <v>9422907.7170241997</v>
      </c>
    </row>
    <row r="278" spans="1:28" s="190" customFormat="1" ht="15">
      <c r="B278" s="293"/>
      <c r="C278" s="294" t="s">
        <v>290</v>
      </c>
      <c r="D278" s="294"/>
      <c r="E278" s="294"/>
      <c r="F278" s="294"/>
      <c r="G278" s="294"/>
      <c r="H278" s="294"/>
      <c r="I278" s="294"/>
      <c r="J278" s="294"/>
      <c r="K278" s="295"/>
      <c r="L278" s="296"/>
      <c r="M278" s="171"/>
      <c r="N278" s="297"/>
      <c r="O278" s="298"/>
      <c r="P278" s="245"/>
      <c r="Q278" s="299"/>
      <c r="R278" s="298"/>
      <c r="S278" s="245"/>
      <c r="T278" s="245"/>
      <c r="U278" s="300"/>
      <c r="V278" s="301"/>
      <c r="W278" s="301"/>
      <c r="X278" s="149"/>
    </row>
    <row r="279" spans="1:28" s="190" customFormat="1" ht="22.5" customHeight="1">
      <c r="A279" s="150"/>
      <c r="B279" s="385"/>
      <c r="C279" s="386"/>
      <c r="D279" s="386"/>
      <c r="E279" s="386"/>
      <c r="F279" s="386"/>
      <c r="G279" s="386"/>
      <c r="H279" s="386"/>
      <c r="I279" s="204"/>
      <c r="J279" s="205"/>
      <c r="K279" s="387"/>
      <c r="L279" s="388"/>
      <c r="M279" s="196"/>
      <c r="N279" s="389"/>
      <c r="O279" s="390"/>
      <c r="P279" s="249"/>
      <c r="Q279" s="391"/>
      <c r="R279" s="390"/>
      <c r="S279" s="249"/>
      <c r="T279" s="392"/>
      <c r="U279" s="390"/>
      <c r="V279" s="334"/>
      <c r="W279" s="334"/>
      <c r="X279" s="393"/>
    </row>
    <row r="280" spans="1:28" s="190" customFormat="1" ht="28.5" customHeight="1">
      <c r="B280" s="394">
        <v>4</v>
      </c>
      <c r="C280" s="917" t="s">
        <v>291</v>
      </c>
      <c r="D280" s="918"/>
      <c r="E280" s="918"/>
      <c r="F280" s="918"/>
      <c r="G280" s="918"/>
      <c r="H280" s="918"/>
      <c r="I280" s="918"/>
      <c r="J280" s="918"/>
      <c r="K280" s="918"/>
      <c r="L280" s="919"/>
      <c r="M280" s="196"/>
      <c r="N280" s="867" t="s">
        <v>62</v>
      </c>
      <c r="O280" s="868"/>
      <c r="P280" s="249"/>
      <c r="Q280" s="792" t="s">
        <v>63</v>
      </c>
      <c r="R280" s="793"/>
      <c r="S280" s="250"/>
      <c r="T280" s="869" t="s">
        <v>64</v>
      </c>
      <c r="U280" s="870"/>
      <c r="V280" s="870"/>
      <c r="W280" s="871"/>
      <c r="X280" s="201"/>
    </row>
    <row r="281" spans="1:28" s="190" customFormat="1" ht="33.75" customHeight="1">
      <c r="B281" s="164"/>
      <c r="C281" s="813" t="s">
        <v>65</v>
      </c>
      <c r="D281" s="814"/>
      <c r="E281" s="814"/>
      <c r="F281" s="814"/>
      <c r="G281" s="814"/>
      <c r="H281" s="815"/>
      <c r="I281" s="165"/>
      <c r="J281" s="166"/>
      <c r="K281" s="167"/>
      <c r="L281" s="168"/>
      <c r="M281" s="196"/>
      <c r="N281" s="421" t="s">
        <v>66</v>
      </c>
      <c r="O281" s="422" t="s">
        <v>67</v>
      </c>
      <c r="P281" s="249"/>
      <c r="Q281" s="423" t="s">
        <v>66</v>
      </c>
      <c r="R281" s="422" t="s">
        <v>67</v>
      </c>
      <c r="S281" s="249"/>
      <c r="T281" s="421" t="s">
        <v>66</v>
      </c>
      <c r="U281" s="422" t="s">
        <v>68</v>
      </c>
      <c r="V281" s="424" t="s">
        <v>69</v>
      </c>
      <c r="W281" s="425"/>
      <c r="X281" s="201"/>
    </row>
    <row r="282" spans="1:28" s="190" customFormat="1" ht="24" customHeight="1">
      <c r="B282" s="173">
        <v>1</v>
      </c>
      <c r="C282" s="929" t="s">
        <v>70</v>
      </c>
      <c r="D282" s="930"/>
      <c r="E282" s="930"/>
      <c r="F282" s="930"/>
      <c r="G282" s="930"/>
      <c r="H282" s="931"/>
      <c r="I282" s="174" t="s">
        <v>71</v>
      </c>
      <c r="J282" s="175">
        <f>J291</f>
        <v>103.36</v>
      </c>
      <c r="K282" s="176">
        <f>26865/1.19</f>
        <v>22575.63025210084</v>
      </c>
      <c r="L282" s="228">
        <f>J282*K282</f>
        <v>2333417.1428571427</v>
      </c>
      <c r="M282" s="171"/>
      <c r="N282" s="316"/>
      <c r="O282" s="317">
        <f>N282*K282</f>
        <v>0</v>
      </c>
      <c r="P282" s="249"/>
      <c r="Q282" s="323">
        <v>110.23</v>
      </c>
      <c r="R282" s="181">
        <f>Q282*K282</f>
        <v>2488511.7226890759</v>
      </c>
      <c r="S282" s="249"/>
      <c r="T282" s="316">
        <f>+N282+Q282</f>
        <v>110.23</v>
      </c>
      <c r="U282" s="235">
        <f>+ROUND((ROUNDDOWN(T282,2))*K282,2)</f>
        <v>2488511.7200000002</v>
      </c>
      <c r="V282" s="822"/>
      <c r="W282" s="823"/>
      <c r="X282" s="201"/>
    </row>
    <row r="283" spans="1:28" s="190" customFormat="1" ht="23.25" customHeight="1">
      <c r="B283" s="173">
        <v>2</v>
      </c>
      <c r="C283" s="929" t="s">
        <v>180</v>
      </c>
      <c r="D283" s="930"/>
      <c r="E283" s="930"/>
      <c r="F283" s="930"/>
      <c r="G283" s="930"/>
      <c r="H283" s="931"/>
      <c r="I283" s="174" t="s">
        <v>71</v>
      </c>
      <c r="J283" s="175">
        <f t="shared" ref="J283" si="41">J292</f>
        <v>103.36</v>
      </c>
      <c r="K283" s="176">
        <f>20653/1.19</f>
        <v>17355.462184873952</v>
      </c>
      <c r="L283" s="228">
        <f t="shared" ref="L283:L286" si="42">J283*K283</f>
        <v>1793860.5714285716</v>
      </c>
      <c r="M283" s="171"/>
      <c r="N283" s="316"/>
      <c r="O283" s="317">
        <f t="shared" ref="O283:O285" si="43">N283*K283</f>
        <v>0</v>
      </c>
      <c r="P283" s="249"/>
      <c r="Q283" s="323">
        <v>110.23</v>
      </c>
      <c r="R283" s="181">
        <f t="shared" ref="R283:R286" si="44">Q283*K283</f>
        <v>1913092.5966386558</v>
      </c>
      <c r="S283" s="249"/>
      <c r="T283" s="316">
        <f>+N283+Q283</f>
        <v>110.23</v>
      </c>
      <c r="U283" s="235">
        <f>+ROUND((ROUNDDOWN(T283,2))*K283,2)</f>
        <v>1913092.6</v>
      </c>
      <c r="V283" s="822"/>
      <c r="W283" s="823"/>
      <c r="X283" s="201"/>
    </row>
    <row r="284" spans="1:28" s="190" customFormat="1" ht="23.25" customHeight="1">
      <c r="B284" s="173">
        <v>3</v>
      </c>
      <c r="C284" s="932" t="s">
        <v>73</v>
      </c>
      <c r="D284" s="933"/>
      <c r="E284" s="933"/>
      <c r="F284" s="933"/>
      <c r="G284" s="933"/>
      <c r="H284" s="934"/>
      <c r="I284" s="186" t="s">
        <v>71</v>
      </c>
      <c r="J284" s="175">
        <f>J283</f>
        <v>103.36</v>
      </c>
      <c r="K284" s="176">
        <f>8683/1.19</f>
        <v>7296.6386554621849</v>
      </c>
      <c r="L284" s="228">
        <f t="shared" si="42"/>
        <v>754180.57142857148</v>
      </c>
      <c r="M284" s="171"/>
      <c r="N284" s="316">
        <v>87.36</v>
      </c>
      <c r="O284" s="235">
        <f t="shared" si="43"/>
        <v>637434.3529411765</v>
      </c>
      <c r="P284" s="249"/>
      <c r="Q284" s="323"/>
      <c r="R284" s="317">
        <f t="shared" si="44"/>
        <v>0</v>
      </c>
      <c r="S284" s="249"/>
      <c r="T284" s="316">
        <f t="shared" ref="T284:T286" si="45">+N284+Q284</f>
        <v>87.36</v>
      </c>
      <c r="U284" s="235">
        <f t="shared" ref="U284:U286" si="46">+ROUND((ROUNDDOWN(T284,2))*K284,2)</f>
        <v>637434.35</v>
      </c>
      <c r="V284" s="822"/>
      <c r="W284" s="823"/>
      <c r="X284" s="201"/>
    </row>
    <row r="285" spans="1:28" s="190" customFormat="1" ht="23.25" customHeight="1">
      <c r="B285" s="173">
        <v>4</v>
      </c>
      <c r="C285" s="935" t="s">
        <v>74</v>
      </c>
      <c r="D285" s="936"/>
      <c r="E285" s="936"/>
      <c r="F285" s="936"/>
      <c r="G285" s="936"/>
      <c r="H285" s="937"/>
      <c r="I285" s="186" t="s">
        <v>71</v>
      </c>
      <c r="J285" s="175">
        <f>J284</f>
        <v>103.36</v>
      </c>
      <c r="K285" s="189">
        <f>2264/1.19</f>
        <v>1902.5210084033615</v>
      </c>
      <c r="L285" s="228">
        <f t="shared" si="42"/>
        <v>196644.57142857145</v>
      </c>
      <c r="M285" s="171"/>
      <c r="N285" s="316">
        <v>87.36</v>
      </c>
      <c r="O285" s="235">
        <f t="shared" si="43"/>
        <v>166204.23529411765</v>
      </c>
      <c r="P285" s="249"/>
      <c r="Q285" s="323"/>
      <c r="R285" s="317">
        <f t="shared" si="44"/>
        <v>0</v>
      </c>
      <c r="S285" s="249"/>
      <c r="T285" s="316">
        <f t="shared" si="45"/>
        <v>87.36</v>
      </c>
      <c r="U285" s="235">
        <f t="shared" si="46"/>
        <v>166204.24</v>
      </c>
      <c r="V285" s="822"/>
      <c r="W285" s="823"/>
      <c r="X285" s="201"/>
    </row>
    <row r="286" spans="1:28" s="190" customFormat="1" ht="23.25" customHeight="1">
      <c r="B286" s="173">
        <v>5</v>
      </c>
      <c r="C286" s="932" t="s">
        <v>75</v>
      </c>
      <c r="D286" s="933"/>
      <c r="E286" s="933"/>
      <c r="F286" s="933"/>
      <c r="G286" s="933"/>
      <c r="H286" s="934"/>
      <c r="I286" s="174" t="s">
        <v>71</v>
      </c>
      <c r="J286" s="175">
        <f>J285</f>
        <v>103.36</v>
      </c>
      <c r="K286" s="189">
        <f>3967/1.19</f>
        <v>3333.6134453781515</v>
      </c>
      <c r="L286" s="228">
        <f t="shared" si="42"/>
        <v>344562.28571428574</v>
      </c>
      <c r="M286" s="171"/>
      <c r="N286" s="316"/>
      <c r="O286" s="317"/>
      <c r="P286" s="249"/>
      <c r="Q286" s="323"/>
      <c r="R286" s="317">
        <f t="shared" si="44"/>
        <v>0</v>
      </c>
      <c r="S286" s="249"/>
      <c r="T286" s="316">
        <f t="shared" si="45"/>
        <v>0</v>
      </c>
      <c r="U286" s="235">
        <f t="shared" si="46"/>
        <v>0</v>
      </c>
      <c r="V286" s="822"/>
      <c r="W286" s="823"/>
      <c r="X286" s="201"/>
    </row>
    <row r="287" spans="1:28" s="190" customFormat="1" ht="23.25" customHeight="1">
      <c r="B287" s="401"/>
      <c r="C287" s="813" t="s">
        <v>76</v>
      </c>
      <c r="D287" s="814"/>
      <c r="E287" s="814"/>
      <c r="F287" s="814"/>
      <c r="G287" s="814"/>
      <c r="H287" s="815"/>
      <c r="I287" s="402"/>
      <c r="J287" s="403"/>
      <c r="K287" s="404"/>
      <c r="L287" s="405">
        <f>ROUND(SUM(L282:L286),0)</f>
        <v>5422665</v>
      </c>
      <c r="M287" s="171"/>
      <c r="N287" s="316"/>
      <c r="O287" s="325">
        <f>SUM(O282:O286)</f>
        <v>803638.58823529421</v>
      </c>
      <c r="P287" s="249"/>
      <c r="Q287" s="323"/>
      <c r="R287" s="325">
        <f>SUM(R282:R286)</f>
        <v>4401604.3193277316</v>
      </c>
      <c r="S287" s="249"/>
      <c r="T287" s="316">
        <f>+N287+Q287</f>
        <v>0</v>
      </c>
      <c r="U287" s="325">
        <f>SUM(U282:U286)</f>
        <v>5205242.91</v>
      </c>
      <c r="V287" s="822"/>
      <c r="W287" s="823"/>
      <c r="X287" s="201"/>
      <c r="AA287" s="150"/>
    </row>
    <row r="288" spans="1:28" s="150" customFormat="1" ht="28.5" customHeight="1">
      <c r="B288" s="164"/>
      <c r="C288" s="813" t="s">
        <v>181</v>
      </c>
      <c r="D288" s="814"/>
      <c r="E288" s="814"/>
      <c r="F288" s="814"/>
      <c r="G288" s="814"/>
      <c r="H288" s="815"/>
      <c r="I288" s="165"/>
      <c r="J288" s="166"/>
      <c r="K288" s="335"/>
      <c r="L288" s="214"/>
      <c r="M288" s="171"/>
      <c r="N288" s="297"/>
      <c r="O288" s="298"/>
      <c r="P288" s="245"/>
      <c r="Q288" s="299"/>
      <c r="R288" s="298"/>
      <c r="S288" s="245"/>
      <c r="T288" s="245"/>
      <c r="U288" s="300"/>
      <c r="V288" s="301"/>
      <c r="W288" s="301"/>
      <c r="X288" s="149"/>
    </row>
    <row r="289" spans="2:27" s="190" customFormat="1" ht="19.5" customHeight="1">
      <c r="B289" s="337"/>
      <c r="C289" s="920" t="s">
        <v>182</v>
      </c>
      <c r="D289" s="921"/>
      <c r="E289" s="921"/>
      <c r="F289" s="921"/>
      <c r="G289" s="921"/>
      <c r="H289" s="922"/>
      <c r="I289" s="338" t="s">
        <v>79</v>
      </c>
      <c r="J289" s="339" t="s">
        <v>80</v>
      </c>
      <c r="K289" s="340" t="s">
        <v>183</v>
      </c>
      <c r="L289" s="218" t="s">
        <v>184</v>
      </c>
      <c r="M289" s="196"/>
      <c r="N289" s="341" t="s">
        <v>185</v>
      </c>
      <c r="O289" s="342" t="s">
        <v>186</v>
      </c>
      <c r="P289" s="343"/>
      <c r="Q289" s="344" t="s">
        <v>185</v>
      </c>
      <c r="R289" s="342" t="s">
        <v>186</v>
      </c>
      <c r="S289" s="346"/>
      <c r="T289" s="324" t="s">
        <v>80</v>
      </c>
      <c r="U289" s="347" t="s">
        <v>67</v>
      </c>
      <c r="V289" s="883" t="s">
        <v>187</v>
      </c>
      <c r="W289" s="884"/>
      <c r="X289" s="201"/>
    </row>
    <row r="290" spans="2:27" s="190" customFormat="1" ht="19.5" customHeight="1">
      <c r="B290" s="337">
        <v>1</v>
      </c>
      <c r="C290" s="923" t="s">
        <v>78</v>
      </c>
      <c r="D290" s="924"/>
      <c r="E290" s="924"/>
      <c r="F290" s="924"/>
      <c r="G290" s="924"/>
      <c r="H290" s="925"/>
      <c r="I290" s="348"/>
      <c r="J290" s="349"/>
      <c r="K290" s="350"/>
      <c r="L290" s="351">
        <f t="shared" ref="L290:L355" si="47">K290*J290</f>
        <v>0</v>
      </c>
      <c r="M290" s="196"/>
      <c r="N290" s="352"/>
      <c r="O290" s="353"/>
      <c r="P290" s="249"/>
      <c r="Q290" s="354"/>
      <c r="R290" s="353"/>
      <c r="S290" s="250"/>
      <c r="T290" s="234">
        <f t="shared" ref="T290:T362" si="48">N290+Q290</f>
        <v>0</v>
      </c>
      <c r="U290" s="235"/>
      <c r="V290" s="311"/>
      <c r="W290" s="312"/>
      <c r="X290" s="201"/>
    </row>
    <row r="291" spans="2:27" s="190" customFormat="1" ht="19.5" customHeight="1">
      <c r="B291" s="356" t="s">
        <v>83</v>
      </c>
      <c r="C291" s="962" t="s">
        <v>84</v>
      </c>
      <c r="D291" s="963"/>
      <c r="E291" s="963"/>
      <c r="F291" s="963"/>
      <c r="G291" s="963"/>
      <c r="H291" s="964"/>
      <c r="I291" s="356" t="s">
        <v>71</v>
      </c>
      <c r="J291" s="175">
        <v>103.36</v>
      </c>
      <c r="K291" s="227">
        <v>10102</v>
      </c>
      <c r="L291" s="228">
        <f t="shared" si="47"/>
        <v>1044142.72</v>
      </c>
      <c r="M291" s="196"/>
      <c r="N291" s="416"/>
      <c r="O291" s="363">
        <f>K291*N291</f>
        <v>0</v>
      </c>
      <c r="P291" s="249"/>
      <c r="Q291" s="358">
        <v>103.36</v>
      </c>
      <c r="R291" s="179">
        <f>Q291*K291</f>
        <v>1044142.72</v>
      </c>
      <c r="S291" s="250"/>
      <c r="T291" s="234">
        <f t="shared" si="48"/>
        <v>103.36</v>
      </c>
      <c r="U291" s="235">
        <f>T291*K291</f>
        <v>1044142.72</v>
      </c>
      <c r="V291" s="822"/>
      <c r="W291" s="823"/>
      <c r="X291" s="201"/>
      <c r="AA291" s="426">
        <f>Q291+N291</f>
        <v>103.36</v>
      </c>
    </row>
    <row r="292" spans="2:27" s="190" customFormat="1" ht="19.5" customHeight="1">
      <c r="B292" s="359" t="s">
        <v>86</v>
      </c>
      <c r="C292" s="941" t="s">
        <v>87</v>
      </c>
      <c r="D292" s="942"/>
      <c r="E292" s="942"/>
      <c r="F292" s="942"/>
      <c r="G292" s="942"/>
      <c r="H292" s="943"/>
      <c r="I292" s="360" t="s">
        <v>71</v>
      </c>
      <c r="J292" s="175">
        <v>103.36</v>
      </c>
      <c r="K292" s="227">
        <v>2832</v>
      </c>
      <c r="L292" s="228">
        <f t="shared" si="47"/>
        <v>292715.52000000002</v>
      </c>
      <c r="M292" s="196"/>
      <c r="N292" s="416"/>
      <c r="O292" s="363">
        <f t="shared" ref="O292:O355" si="49">K292*N292</f>
        <v>0</v>
      </c>
      <c r="P292" s="249"/>
      <c r="Q292" s="358">
        <v>103.36</v>
      </c>
      <c r="R292" s="179">
        <f t="shared" ref="R292:R358" si="50">Q292*K292</f>
        <v>292715.52000000002</v>
      </c>
      <c r="S292" s="250"/>
      <c r="T292" s="234">
        <f t="shared" si="48"/>
        <v>103.36</v>
      </c>
      <c r="U292" s="235">
        <f t="shared" ref="U292:U362" si="51">T292*K292</f>
        <v>292715.52000000002</v>
      </c>
      <c r="V292" s="822"/>
      <c r="W292" s="823"/>
      <c r="X292" s="201"/>
      <c r="AA292" s="426">
        <f t="shared" ref="AA292:AA297" si="52">Q292+N292</f>
        <v>103.36</v>
      </c>
    </row>
    <row r="293" spans="2:27" s="190" customFormat="1" ht="19.5" customHeight="1">
      <c r="B293" s="356" t="s">
        <v>88</v>
      </c>
      <c r="C293" s="944" t="s">
        <v>89</v>
      </c>
      <c r="D293" s="945"/>
      <c r="E293" s="945"/>
      <c r="F293" s="945"/>
      <c r="G293" s="945"/>
      <c r="H293" s="946"/>
      <c r="I293" s="356" t="s">
        <v>91</v>
      </c>
      <c r="J293" s="427">
        <v>47.162914999999998</v>
      </c>
      <c r="K293" s="361">
        <v>48450</v>
      </c>
      <c r="L293" s="228">
        <f t="shared" si="47"/>
        <v>2285043.2317499998</v>
      </c>
      <c r="M293" s="196"/>
      <c r="N293" s="416"/>
      <c r="O293" s="363">
        <f>K293*N293</f>
        <v>0</v>
      </c>
      <c r="P293" s="249"/>
      <c r="Q293" s="358">
        <v>47.16</v>
      </c>
      <c r="R293" s="179">
        <f t="shared" si="50"/>
        <v>2284902</v>
      </c>
      <c r="S293" s="250"/>
      <c r="T293" s="234">
        <f t="shared" si="48"/>
        <v>47.16</v>
      </c>
      <c r="U293" s="235">
        <f t="shared" si="51"/>
        <v>2284902</v>
      </c>
      <c r="V293" s="822"/>
      <c r="W293" s="823"/>
      <c r="X293" s="201"/>
      <c r="AA293" s="426">
        <f>Q293+N293</f>
        <v>47.16</v>
      </c>
    </row>
    <row r="294" spans="2:27" s="190" customFormat="1" ht="19.5" customHeight="1">
      <c r="B294" s="362">
        <v>2</v>
      </c>
      <c r="C294" s="938" t="s">
        <v>188</v>
      </c>
      <c r="D294" s="939"/>
      <c r="E294" s="939"/>
      <c r="F294" s="939"/>
      <c r="G294" s="939"/>
      <c r="H294" s="940"/>
      <c r="I294" s="356"/>
      <c r="J294" s="226"/>
      <c r="K294" s="227"/>
      <c r="L294" s="228">
        <f t="shared" si="47"/>
        <v>0</v>
      </c>
      <c r="M294" s="196"/>
      <c r="N294" s="416"/>
      <c r="O294" s="363">
        <f t="shared" si="49"/>
        <v>0</v>
      </c>
      <c r="P294" s="249"/>
      <c r="Q294" s="358">
        <v>0</v>
      </c>
      <c r="R294" s="363">
        <f t="shared" si="50"/>
        <v>0</v>
      </c>
      <c r="S294" s="250"/>
      <c r="T294" s="234">
        <f t="shared" si="48"/>
        <v>0</v>
      </c>
      <c r="U294" s="235">
        <f t="shared" si="51"/>
        <v>0</v>
      </c>
      <c r="V294" s="822"/>
      <c r="W294" s="823"/>
      <c r="X294" s="201"/>
      <c r="AA294" s="426">
        <f t="shared" si="52"/>
        <v>0</v>
      </c>
    </row>
    <row r="295" spans="2:27" s="190" customFormat="1" ht="19.5" customHeight="1">
      <c r="B295" s="356" t="s">
        <v>104</v>
      </c>
      <c r="C295" s="856" t="s">
        <v>105</v>
      </c>
      <c r="D295" s="857"/>
      <c r="E295" s="857"/>
      <c r="F295" s="857"/>
      <c r="G295" s="857"/>
      <c r="H295" s="858"/>
      <c r="I295" s="356" t="s">
        <v>91</v>
      </c>
      <c r="J295" s="226">
        <v>0.56701500000000005</v>
      </c>
      <c r="K295" s="227">
        <v>513005</v>
      </c>
      <c r="L295" s="228">
        <f t="shared" si="47"/>
        <v>290881.53007500002</v>
      </c>
      <c r="M295" s="196"/>
      <c r="N295" s="416"/>
      <c r="O295" s="363">
        <f t="shared" si="49"/>
        <v>0</v>
      </c>
      <c r="P295" s="249"/>
      <c r="Q295" s="358">
        <v>0.56999999999999995</v>
      </c>
      <c r="R295" s="179">
        <f t="shared" si="50"/>
        <v>292412.84999999998</v>
      </c>
      <c r="S295" s="250"/>
      <c r="T295" s="234">
        <f t="shared" si="48"/>
        <v>0.56999999999999995</v>
      </c>
      <c r="U295" s="235">
        <f t="shared" si="51"/>
        <v>292412.84999999998</v>
      </c>
      <c r="V295" s="822"/>
      <c r="W295" s="823"/>
      <c r="X295" s="201"/>
      <c r="AA295" s="426">
        <f t="shared" si="52"/>
        <v>0.56999999999999995</v>
      </c>
    </row>
    <row r="296" spans="2:27" s="190" customFormat="1" ht="21" customHeight="1">
      <c r="B296" s="356" t="s">
        <v>102</v>
      </c>
      <c r="C296" s="856" t="s">
        <v>103</v>
      </c>
      <c r="D296" s="857"/>
      <c r="E296" s="857"/>
      <c r="F296" s="857"/>
      <c r="G296" s="857"/>
      <c r="H296" s="858"/>
      <c r="I296" s="356" t="s">
        <v>91</v>
      </c>
      <c r="J296" s="226">
        <v>6.32</v>
      </c>
      <c r="K296" s="227">
        <v>461018</v>
      </c>
      <c r="L296" s="228">
        <f t="shared" si="47"/>
        <v>2913633.7600000002</v>
      </c>
      <c r="M296" s="196"/>
      <c r="N296" s="316">
        <v>2.1900000000000004</v>
      </c>
      <c r="O296" s="363">
        <f>K296*N296</f>
        <v>1009629.4200000002</v>
      </c>
      <c r="P296" s="249"/>
      <c r="Q296" s="358">
        <v>4.13</v>
      </c>
      <c r="R296" s="179">
        <f t="shared" si="50"/>
        <v>1904004.3399999999</v>
      </c>
      <c r="S296" s="250"/>
      <c r="T296" s="234">
        <f t="shared" si="48"/>
        <v>6.32</v>
      </c>
      <c r="U296" s="235">
        <f t="shared" si="51"/>
        <v>2913633.7600000002</v>
      </c>
      <c r="V296" s="822"/>
      <c r="W296" s="823"/>
      <c r="X296" s="201"/>
      <c r="AA296" s="426">
        <f t="shared" si="52"/>
        <v>6.32</v>
      </c>
    </row>
    <row r="297" spans="2:27" s="190" customFormat="1" ht="21" customHeight="1">
      <c r="B297" s="356" t="s">
        <v>100</v>
      </c>
      <c r="C297" s="856" t="s">
        <v>189</v>
      </c>
      <c r="D297" s="857"/>
      <c r="E297" s="857"/>
      <c r="F297" s="857"/>
      <c r="G297" s="857"/>
      <c r="H297" s="858"/>
      <c r="I297" s="356" t="s">
        <v>91</v>
      </c>
      <c r="J297" s="226">
        <v>4.4000000000000004</v>
      </c>
      <c r="K297" s="227">
        <v>778702</v>
      </c>
      <c r="L297" s="228">
        <f t="shared" si="47"/>
        <v>3426288.8000000003</v>
      </c>
      <c r="M297" s="196"/>
      <c r="N297" s="316"/>
      <c r="O297" s="363">
        <f t="shared" si="49"/>
        <v>0</v>
      </c>
      <c r="P297" s="249"/>
      <c r="Q297" s="358">
        <v>4.4000000000000004</v>
      </c>
      <c r="R297" s="179">
        <f t="shared" si="50"/>
        <v>3426288.8000000003</v>
      </c>
      <c r="S297" s="250"/>
      <c r="T297" s="234">
        <f t="shared" si="48"/>
        <v>4.4000000000000004</v>
      </c>
      <c r="U297" s="235">
        <f t="shared" si="51"/>
        <v>3426288.8000000003</v>
      </c>
      <c r="V297" s="822"/>
      <c r="W297" s="823"/>
      <c r="X297" s="201"/>
      <c r="AA297" s="426">
        <f t="shared" si="52"/>
        <v>4.4000000000000004</v>
      </c>
    </row>
    <row r="298" spans="2:27" s="190" customFormat="1" ht="21" customHeight="1">
      <c r="B298" s="356" t="s">
        <v>106</v>
      </c>
      <c r="C298" s="856" t="s">
        <v>190</v>
      </c>
      <c r="D298" s="857"/>
      <c r="E298" s="857"/>
      <c r="F298" s="857"/>
      <c r="G298" s="857"/>
      <c r="H298" s="858"/>
      <c r="I298" s="356" t="s">
        <v>91</v>
      </c>
      <c r="J298" s="226">
        <v>3.6914999999999996</v>
      </c>
      <c r="K298" s="227">
        <v>804034</v>
      </c>
      <c r="L298" s="228">
        <f t="shared" si="47"/>
        <v>2968091.5109999995</v>
      </c>
      <c r="M298" s="196"/>
      <c r="N298" s="316">
        <v>2.2514999999999996</v>
      </c>
      <c r="O298" s="363">
        <f t="shared" si="49"/>
        <v>1810282.5509999997</v>
      </c>
      <c r="P298" s="249"/>
      <c r="Q298" s="358"/>
      <c r="R298" s="363">
        <f t="shared" si="50"/>
        <v>0</v>
      </c>
      <c r="S298" s="250"/>
      <c r="T298" s="234">
        <f t="shared" si="48"/>
        <v>2.2514999999999996</v>
      </c>
      <c r="U298" s="235">
        <f t="shared" si="51"/>
        <v>1810282.5509999997</v>
      </c>
      <c r="V298" s="822"/>
      <c r="W298" s="823"/>
      <c r="X298" s="201"/>
      <c r="AA298" s="426"/>
    </row>
    <row r="299" spans="2:27" s="190" customFormat="1" ht="21" customHeight="1">
      <c r="B299" s="356" t="s">
        <v>108</v>
      </c>
      <c r="C299" s="856" t="s">
        <v>191</v>
      </c>
      <c r="D299" s="857"/>
      <c r="E299" s="857"/>
      <c r="F299" s="857"/>
      <c r="G299" s="857"/>
      <c r="H299" s="858"/>
      <c r="I299" s="356" t="s">
        <v>91</v>
      </c>
      <c r="J299" s="226">
        <v>5.1390000000000002</v>
      </c>
      <c r="K299" s="227">
        <v>875931</v>
      </c>
      <c r="L299" s="228">
        <f t="shared" si="47"/>
        <v>4501409.409</v>
      </c>
      <c r="M299" s="196"/>
      <c r="N299" s="316">
        <v>4.0590000000000002</v>
      </c>
      <c r="O299" s="363">
        <f t="shared" si="49"/>
        <v>3555403.929</v>
      </c>
      <c r="P299" s="249"/>
      <c r="Q299" s="358"/>
      <c r="R299" s="363">
        <f t="shared" si="50"/>
        <v>0</v>
      </c>
      <c r="S299" s="250"/>
      <c r="T299" s="234">
        <f t="shared" si="48"/>
        <v>4.0590000000000002</v>
      </c>
      <c r="U299" s="235">
        <f t="shared" si="51"/>
        <v>3555403.929</v>
      </c>
      <c r="V299" s="822"/>
      <c r="W299" s="823"/>
      <c r="X299" s="201"/>
      <c r="AA299" s="426"/>
    </row>
    <row r="300" spans="2:27" s="190" customFormat="1" ht="21" customHeight="1">
      <c r="B300" s="356" t="s">
        <v>110</v>
      </c>
      <c r="C300" s="953" t="s">
        <v>192</v>
      </c>
      <c r="D300" s="954"/>
      <c r="E300" s="954"/>
      <c r="F300" s="954"/>
      <c r="G300" s="954"/>
      <c r="H300" s="955"/>
      <c r="I300" s="356" t="s">
        <v>91</v>
      </c>
      <c r="J300" s="226">
        <v>5.6012600000000008</v>
      </c>
      <c r="K300" s="227">
        <v>884610</v>
      </c>
      <c r="L300" s="228">
        <f t="shared" si="47"/>
        <v>4954930.6086000009</v>
      </c>
      <c r="M300" s="196"/>
      <c r="N300" s="316">
        <v>4.1612600000000004</v>
      </c>
      <c r="O300" s="363">
        <f t="shared" si="49"/>
        <v>3681092.2086000005</v>
      </c>
      <c r="P300" s="249"/>
      <c r="Q300" s="358"/>
      <c r="R300" s="363">
        <f t="shared" si="50"/>
        <v>0</v>
      </c>
      <c r="S300" s="250"/>
      <c r="T300" s="234">
        <f t="shared" si="48"/>
        <v>4.1612600000000004</v>
      </c>
      <c r="U300" s="235">
        <f t="shared" si="51"/>
        <v>3681092.2086000005</v>
      </c>
      <c r="V300" s="822"/>
      <c r="W300" s="823"/>
      <c r="X300" s="201"/>
      <c r="AA300" s="426"/>
    </row>
    <row r="301" spans="2:27" s="190" customFormat="1" ht="21" customHeight="1">
      <c r="B301" s="359" t="s">
        <v>258</v>
      </c>
      <c r="C301" s="950" t="s">
        <v>194</v>
      </c>
      <c r="D301" s="951"/>
      <c r="E301" s="951"/>
      <c r="F301" s="951"/>
      <c r="G301" s="951"/>
      <c r="H301" s="952"/>
      <c r="I301" s="360" t="s">
        <v>71</v>
      </c>
      <c r="J301" s="226">
        <v>9.8279999999999994</v>
      </c>
      <c r="K301" s="227">
        <v>97830</v>
      </c>
      <c r="L301" s="228">
        <f t="shared" si="47"/>
        <v>961473.24</v>
      </c>
      <c r="M301" s="196"/>
      <c r="N301" s="316">
        <v>9.8279999999999994</v>
      </c>
      <c r="O301" s="179">
        <f t="shared" si="49"/>
        <v>961473.24</v>
      </c>
      <c r="P301" s="249"/>
      <c r="Q301" s="358"/>
      <c r="R301" s="363">
        <f t="shared" si="50"/>
        <v>0</v>
      </c>
      <c r="S301" s="250"/>
      <c r="T301" s="234">
        <f t="shared" si="48"/>
        <v>9.8279999999999994</v>
      </c>
      <c r="U301" s="235">
        <f t="shared" si="51"/>
        <v>961473.24</v>
      </c>
      <c r="V301" s="822"/>
      <c r="W301" s="823"/>
      <c r="X301" s="201"/>
      <c r="AA301" s="150"/>
    </row>
    <row r="302" spans="2:27" s="190" customFormat="1" ht="30" customHeight="1">
      <c r="B302" s="356" t="s">
        <v>259</v>
      </c>
      <c r="C302" s="905" t="s">
        <v>260</v>
      </c>
      <c r="D302" s="906"/>
      <c r="E302" s="906"/>
      <c r="F302" s="906"/>
      <c r="G302" s="906"/>
      <c r="H302" s="907"/>
      <c r="I302" s="356" t="s">
        <v>132</v>
      </c>
      <c r="J302" s="226">
        <v>37.839999999999996</v>
      </c>
      <c r="K302" s="227">
        <v>80141</v>
      </c>
      <c r="L302" s="228">
        <f t="shared" si="47"/>
        <v>3032535.4399999995</v>
      </c>
      <c r="M302" s="196"/>
      <c r="N302" s="316"/>
      <c r="O302" s="363"/>
      <c r="P302" s="249"/>
      <c r="Q302" s="358"/>
      <c r="R302" s="363">
        <f t="shared" si="50"/>
        <v>0</v>
      </c>
      <c r="S302" s="250"/>
      <c r="T302" s="234">
        <f t="shared" si="48"/>
        <v>0</v>
      </c>
      <c r="U302" s="235">
        <f t="shared" si="51"/>
        <v>0</v>
      </c>
      <c r="V302" s="822"/>
      <c r="W302" s="823"/>
      <c r="X302" s="201"/>
      <c r="AA302" s="150"/>
    </row>
    <row r="303" spans="2:27" s="190" customFormat="1" ht="23.25" customHeight="1">
      <c r="B303" s="359" t="s">
        <v>198</v>
      </c>
      <c r="C303" s="856" t="s">
        <v>199</v>
      </c>
      <c r="D303" s="857"/>
      <c r="E303" s="857"/>
      <c r="F303" s="857"/>
      <c r="G303" s="857"/>
      <c r="H303" s="858"/>
      <c r="I303" s="364" t="s">
        <v>132</v>
      </c>
      <c r="J303" s="226">
        <v>16.38</v>
      </c>
      <c r="K303" s="227">
        <v>68820</v>
      </c>
      <c r="L303" s="228">
        <f t="shared" si="47"/>
        <v>1127271.5999999999</v>
      </c>
      <c r="M303" s="196"/>
      <c r="N303" s="316"/>
      <c r="O303" s="363">
        <f t="shared" si="49"/>
        <v>0</v>
      </c>
      <c r="P303" s="249"/>
      <c r="Q303" s="358"/>
      <c r="R303" s="363">
        <f t="shared" si="50"/>
        <v>0</v>
      </c>
      <c r="S303" s="250"/>
      <c r="T303" s="234">
        <f t="shared" si="48"/>
        <v>0</v>
      </c>
      <c r="U303" s="235">
        <f t="shared" si="51"/>
        <v>0</v>
      </c>
      <c r="V303" s="822"/>
      <c r="W303" s="823"/>
      <c r="X303" s="201"/>
      <c r="AA303" s="150"/>
    </row>
    <row r="304" spans="2:27" s="190" customFormat="1" ht="21" customHeight="1">
      <c r="B304" s="365" t="s">
        <v>200</v>
      </c>
      <c r="C304" s="965" t="s">
        <v>201</v>
      </c>
      <c r="D304" s="966"/>
      <c r="E304" s="966"/>
      <c r="F304" s="966"/>
      <c r="G304" s="966"/>
      <c r="H304" s="967"/>
      <c r="I304" s="366" t="s">
        <v>202</v>
      </c>
      <c r="J304" s="226">
        <v>3186.472240000001</v>
      </c>
      <c r="K304" s="227">
        <v>6457</v>
      </c>
      <c r="L304" s="228">
        <f t="shared" si="47"/>
        <v>20575051.253680006</v>
      </c>
      <c r="M304" s="196"/>
      <c r="N304" s="316">
        <v>1500</v>
      </c>
      <c r="O304" s="179">
        <f t="shared" si="49"/>
        <v>9685500</v>
      </c>
      <c r="P304" s="249"/>
      <c r="Q304" s="358"/>
      <c r="R304" s="363">
        <f t="shared" si="50"/>
        <v>0</v>
      </c>
      <c r="S304" s="250"/>
      <c r="T304" s="234">
        <f t="shared" si="48"/>
        <v>1500</v>
      </c>
      <c r="U304" s="235">
        <f t="shared" si="51"/>
        <v>9685500</v>
      </c>
      <c r="V304" s="822"/>
      <c r="W304" s="823"/>
      <c r="X304" s="201"/>
      <c r="AA304" s="150"/>
    </row>
    <row r="305" spans="2:27" s="190" customFormat="1" ht="21" customHeight="1">
      <c r="B305" s="365" t="s">
        <v>97</v>
      </c>
      <c r="C305" s="965" t="s">
        <v>203</v>
      </c>
      <c r="D305" s="966" t="s">
        <v>203</v>
      </c>
      <c r="E305" s="966" t="s">
        <v>203</v>
      </c>
      <c r="F305" s="966" t="s">
        <v>203</v>
      </c>
      <c r="G305" s="966" t="s">
        <v>203</v>
      </c>
      <c r="H305" s="967" t="s">
        <v>203</v>
      </c>
      <c r="I305" s="366" t="s">
        <v>202</v>
      </c>
      <c r="J305" s="226">
        <v>2583.1058399999988</v>
      </c>
      <c r="K305" s="227">
        <v>6457</v>
      </c>
      <c r="L305" s="228">
        <f t="shared" si="47"/>
        <v>16679114.408879992</v>
      </c>
      <c r="M305" s="196"/>
      <c r="N305" s="316">
        <v>1200</v>
      </c>
      <c r="O305" s="179">
        <f t="shared" si="49"/>
        <v>7748400</v>
      </c>
      <c r="P305" s="249"/>
      <c r="Q305" s="358"/>
      <c r="R305" s="363">
        <f t="shared" si="50"/>
        <v>0</v>
      </c>
      <c r="S305" s="250"/>
      <c r="T305" s="234">
        <f t="shared" si="48"/>
        <v>1200</v>
      </c>
      <c r="U305" s="235">
        <f t="shared" si="51"/>
        <v>7748400</v>
      </c>
      <c r="V305" s="822"/>
      <c r="W305" s="823"/>
      <c r="X305" s="201"/>
      <c r="AA305" s="150"/>
    </row>
    <row r="306" spans="2:27" s="190" customFormat="1" ht="28.5" customHeight="1">
      <c r="B306" s="359" t="s">
        <v>92</v>
      </c>
      <c r="C306" s="944" t="s">
        <v>93</v>
      </c>
      <c r="D306" s="945"/>
      <c r="E306" s="945"/>
      <c r="F306" s="945"/>
      <c r="G306" s="945"/>
      <c r="H306" s="946"/>
      <c r="I306" s="366" t="s">
        <v>91</v>
      </c>
      <c r="J306" s="226">
        <v>32.492985000000004</v>
      </c>
      <c r="K306" s="227">
        <v>11393</v>
      </c>
      <c r="L306" s="228">
        <f t="shared" si="47"/>
        <v>370192.57810500002</v>
      </c>
      <c r="M306" s="196"/>
      <c r="N306" s="316">
        <v>29.292985000000002</v>
      </c>
      <c r="O306" s="363">
        <f t="shared" si="49"/>
        <v>333734.97810500005</v>
      </c>
      <c r="P306" s="249"/>
      <c r="Q306" s="358"/>
      <c r="R306" s="363">
        <f t="shared" si="50"/>
        <v>0</v>
      </c>
      <c r="S306" s="250"/>
      <c r="T306" s="234">
        <f t="shared" si="48"/>
        <v>29.292985000000002</v>
      </c>
      <c r="U306" s="235">
        <f t="shared" si="51"/>
        <v>333734.97810500005</v>
      </c>
      <c r="V306" s="822"/>
      <c r="W306" s="823"/>
      <c r="X306" s="201"/>
      <c r="AA306" s="150"/>
    </row>
    <row r="307" spans="2:27" s="190" customFormat="1" ht="21" customHeight="1">
      <c r="B307" s="359" t="s">
        <v>204</v>
      </c>
      <c r="C307" s="944" t="s">
        <v>205</v>
      </c>
      <c r="D307" s="945"/>
      <c r="E307" s="945"/>
      <c r="F307" s="945"/>
      <c r="G307" s="945"/>
      <c r="H307" s="946"/>
      <c r="I307" s="366" t="s">
        <v>91</v>
      </c>
      <c r="J307" s="226">
        <f>J306</f>
        <v>32.492985000000004</v>
      </c>
      <c r="K307" s="227">
        <v>43045</v>
      </c>
      <c r="L307" s="228">
        <f t="shared" si="47"/>
        <v>1398660.5393250003</v>
      </c>
      <c r="M307" s="196"/>
      <c r="N307" s="316">
        <v>29.292985000000002</v>
      </c>
      <c r="O307" s="363">
        <f t="shared" si="49"/>
        <v>1260916.539325</v>
      </c>
      <c r="P307" s="249"/>
      <c r="Q307" s="358"/>
      <c r="R307" s="363">
        <f t="shared" si="50"/>
        <v>0</v>
      </c>
      <c r="S307" s="250"/>
      <c r="T307" s="234">
        <f t="shared" si="48"/>
        <v>29.292985000000002</v>
      </c>
      <c r="U307" s="235">
        <f t="shared" si="51"/>
        <v>1260916.539325</v>
      </c>
      <c r="V307" s="822"/>
      <c r="W307" s="823"/>
      <c r="X307" s="201"/>
      <c r="AA307" s="150"/>
    </row>
    <row r="308" spans="2:27" s="190" customFormat="1" ht="21" customHeight="1">
      <c r="B308" s="367">
        <v>3</v>
      </c>
      <c r="C308" s="938" t="s">
        <v>114</v>
      </c>
      <c r="D308" s="939"/>
      <c r="E308" s="939"/>
      <c r="F308" s="939"/>
      <c r="G308" s="939"/>
      <c r="H308" s="940"/>
      <c r="I308" s="366"/>
      <c r="J308" s="226"/>
      <c r="K308" s="227"/>
      <c r="L308" s="228">
        <f t="shared" si="47"/>
        <v>0</v>
      </c>
      <c r="M308" s="196"/>
      <c r="N308" s="416"/>
      <c r="O308" s="363">
        <f t="shared" si="49"/>
        <v>0</v>
      </c>
      <c r="P308" s="249"/>
      <c r="Q308" s="358"/>
      <c r="R308" s="363">
        <f t="shared" si="50"/>
        <v>0</v>
      </c>
      <c r="S308" s="250"/>
      <c r="T308" s="234">
        <f t="shared" si="48"/>
        <v>0</v>
      </c>
      <c r="U308" s="235">
        <f t="shared" si="51"/>
        <v>0</v>
      </c>
      <c r="V308" s="822"/>
      <c r="W308" s="823"/>
      <c r="X308" s="201"/>
      <c r="AA308" s="150"/>
    </row>
    <row r="309" spans="2:27" s="190" customFormat="1" ht="21" customHeight="1">
      <c r="B309" s="359" t="s">
        <v>262</v>
      </c>
      <c r="C309" s="856" t="s">
        <v>124</v>
      </c>
      <c r="D309" s="857"/>
      <c r="E309" s="857"/>
      <c r="F309" s="857"/>
      <c r="G309" s="857"/>
      <c r="H309" s="858"/>
      <c r="I309" s="366" t="s">
        <v>71</v>
      </c>
      <c r="J309" s="226">
        <v>136.98509999999999</v>
      </c>
      <c r="K309" s="227">
        <v>96180</v>
      </c>
      <c r="L309" s="228">
        <f t="shared" si="47"/>
        <v>13175226.918</v>
      </c>
      <c r="M309" s="196"/>
      <c r="N309" s="316">
        <v>88.985100000000003</v>
      </c>
      <c r="O309" s="363">
        <f t="shared" si="49"/>
        <v>8558586.9179999996</v>
      </c>
      <c r="P309" s="249"/>
      <c r="Q309" s="358"/>
      <c r="R309" s="363">
        <f t="shared" si="50"/>
        <v>0</v>
      </c>
      <c r="S309" s="250"/>
      <c r="T309" s="234">
        <f t="shared" si="48"/>
        <v>88.985100000000003</v>
      </c>
      <c r="U309" s="235">
        <f t="shared" si="51"/>
        <v>8558586.9179999996</v>
      </c>
      <c r="V309" s="822"/>
      <c r="W309" s="823"/>
      <c r="X309" s="201"/>
      <c r="AA309" s="150"/>
    </row>
    <row r="310" spans="2:27" s="190" customFormat="1" ht="21" customHeight="1">
      <c r="B310" s="359" t="s">
        <v>117</v>
      </c>
      <c r="C310" s="856" t="s">
        <v>118</v>
      </c>
      <c r="D310" s="857"/>
      <c r="E310" s="857"/>
      <c r="F310" s="857"/>
      <c r="G310" s="857"/>
      <c r="H310" s="858"/>
      <c r="I310" s="366" t="s">
        <v>71</v>
      </c>
      <c r="J310" s="226">
        <v>93.05</v>
      </c>
      <c r="K310" s="227">
        <v>18419</v>
      </c>
      <c r="L310" s="228">
        <f t="shared" si="47"/>
        <v>1713887.95</v>
      </c>
      <c r="M310" s="196"/>
      <c r="N310" s="316">
        <v>51.050000000000004</v>
      </c>
      <c r="O310" s="363">
        <f t="shared" si="49"/>
        <v>940289.95000000007</v>
      </c>
      <c r="P310" s="249"/>
      <c r="Q310" s="358"/>
      <c r="R310" s="363">
        <f t="shared" si="50"/>
        <v>0</v>
      </c>
      <c r="S310" s="250"/>
      <c r="T310" s="234">
        <f t="shared" si="48"/>
        <v>51.050000000000004</v>
      </c>
      <c r="U310" s="235">
        <f t="shared" si="51"/>
        <v>940289.95000000007</v>
      </c>
      <c r="V310" s="822"/>
      <c r="W310" s="823"/>
      <c r="X310" s="201"/>
      <c r="AA310" s="150"/>
    </row>
    <row r="311" spans="2:27" s="190" customFormat="1" ht="21" customHeight="1">
      <c r="B311" s="359" t="s">
        <v>208</v>
      </c>
      <c r="C311" s="856" t="s">
        <v>292</v>
      </c>
      <c r="D311" s="857"/>
      <c r="E311" s="857"/>
      <c r="F311" s="857"/>
      <c r="G311" s="857"/>
      <c r="H311" s="858"/>
      <c r="I311" s="366" t="s">
        <v>71</v>
      </c>
      <c r="J311" s="226">
        <v>8.8379999999999992</v>
      </c>
      <c r="K311" s="227">
        <v>22197</v>
      </c>
      <c r="L311" s="228">
        <f t="shared" si="47"/>
        <v>196177.08599999998</v>
      </c>
      <c r="M311" s="196"/>
      <c r="N311" s="316"/>
      <c r="O311" s="363">
        <f t="shared" si="49"/>
        <v>0</v>
      </c>
      <c r="P311" s="249"/>
      <c r="Q311" s="358"/>
      <c r="R311" s="363">
        <f t="shared" si="50"/>
        <v>0</v>
      </c>
      <c r="S311" s="250"/>
      <c r="T311" s="234">
        <f t="shared" si="48"/>
        <v>0</v>
      </c>
      <c r="U311" s="235">
        <f t="shared" si="51"/>
        <v>0</v>
      </c>
      <c r="V311" s="822"/>
      <c r="W311" s="823"/>
      <c r="X311" s="201"/>
      <c r="AA311" s="150"/>
    </row>
    <row r="312" spans="2:27" s="190" customFormat="1" ht="21" customHeight="1">
      <c r="B312" s="359" t="s">
        <v>210</v>
      </c>
      <c r="C312" s="856" t="s">
        <v>211</v>
      </c>
      <c r="D312" s="857"/>
      <c r="E312" s="857"/>
      <c r="F312" s="857"/>
      <c r="G312" s="857"/>
      <c r="H312" s="858"/>
      <c r="I312" s="366" t="s">
        <v>71</v>
      </c>
      <c r="J312" s="226">
        <v>69.5</v>
      </c>
      <c r="K312" s="227">
        <v>74012</v>
      </c>
      <c r="L312" s="228">
        <f t="shared" si="47"/>
        <v>5143834</v>
      </c>
      <c r="M312" s="196"/>
      <c r="N312" s="316"/>
      <c r="O312" s="363">
        <f t="shared" si="49"/>
        <v>0</v>
      </c>
      <c r="P312" s="249"/>
      <c r="Q312" s="358"/>
      <c r="R312" s="363">
        <f t="shared" si="50"/>
        <v>0</v>
      </c>
      <c r="S312" s="250"/>
      <c r="T312" s="234">
        <f t="shared" si="48"/>
        <v>0</v>
      </c>
      <c r="U312" s="235">
        <f t="shared" si="51"/>
        <v>0</v>
      </c>
      <c r="V312" s="822"/>
      <c r="W312" s="823"/>
      <c r="X312" s="201"/>
      <c r="AA312" s="150"/>
    </row>
    <row r="313" spans="2:27" s="190" customFormat="1" ht="21" customHeight="1">
      <c r="B313" s="367">
        <v>4</v>
      </c>
      <c r="C313" s="938" t="s">
        <v>212</v>
      </c>
      <c r="D313" s="939"/>
      <c r="E313" s="939"/>
      <c r="F313" s="939"/>
      <c r="G313" s="939"/>
      <c r="H313" s="940"/>
      <c r="I313" s="366"/>
      <c r="J313" s="226"/>
      <c r="K313" s="227"/>
      <c r="L313" s="228">
        <f t="shared" si="47"/>
        <v>0</v>
      </c>
      <c r="M313" s="196"/>
      <c r="N313" s="316"/>
      <c r="O313" s="363">
        <f t="shared" si="49"/>
        <v>0</v>
      </c>
      <c r="P313" s="249"/>
      <c r="Q313" s="358"/>
      <c r="R313" s="363">
        <f t="shared" si="50"/>
        <v>0</v>
      </c>
      <c r="S313" s="250"/>
      <c r="T313" s="234">
        <f t="shared" si="48"/>
        <v>0</v>
      </c>
      <c r="U313" s="235">
        <f t="shared" si="51"/>
        <v>0</v>
      </c>
      <c r="V313" s="822"/>
      <c r="W313" s="823"/>
      <c r="X313" s="201"/>
      <c r="AA313" s="150"/>
    </row>
    <row r="314" spans="2:27" s="190" customFormat="1" ht="21" customHeight="1">
      <c r="B314" s="359" t="s">
        <v>150</v>
      </c>
      <c r="C314" s="856" t="s">
        <v>151</v>
      </c>
      <c r="D314" s="857"/>
      <c r="E314" s="857"/>
      <c r="F314" s="857"/>
      <c r="G314" s="857"/>
      <c r="H314" s="858"/>
      <c r="I314" s="366" t="s">
        <v>71</v>
      </c>
      <c r="J314" s="226">
        <v>91.424000000000007</v>
      </c>
      <c r="K314" s="227">
        <v>82258</v>
      </c>
      <c r="L314" s="228">
        <f t="shared" si="47"/>
        <v>7520355.3920000009</v>
      </c>
      <c r="M314" s="196"/>
      <c r="N314" s="316">
        <v>71.424000000000007</v>
      </c>
      <c r="O314" s="363">
        <f t="shared" si="49"/>
        <v>5875195.3920000009</v>
      </c>
      <c r="P314" s="249"/>
      <c r="Q314" s="358"/>
      <c r="R314" s="363">
        <f t="shared" si="50"/>
        <v>0</v>
      </c>
      <c r="S314" s="250"/>
      <c r="T314" s="234">
        <f t="shared" si="48"/>
        <v>71.424000000000007</v>
      </c>
      <c r="U314" s="235">
        <f t="shared" si="51"/>
        <v>5875195.3920000009</v>
      </c>
      <c r="V314" s="822"/>
      <c r="W314" s="823"/>
      <c r="X314" s="201"/>
      <c r="AA314" s="150"/>
    </row>
    <row r="315" spans="2:27" s="190" customFormat="1" ht="21" customHeight="1">
      <c r="B315" s="359" t="str">
        <f>[15]PRESUPUESTO!$B$30</f>
        <v>2.3.4</v>
      </c>
      <c r="C315" s="850" t="str">
        <f>[15]PRESUPUESTO!$C$30</f>
        <v>MALLA ELECTROSOLDADA ESTÁNDAR</v>
      </c>
      <c r="D315" s="851"/>
      <c r="E315" s="851"/>
      <c r="F315" s="851"/>
      <c r="G315" s="851"/>
      <c r="H315" s="852"/>
      <c r="I315" s="366" t="s">
        <v>99</v>
      </c>
      <c r="J315" s="226">
        <v>220.72500000000002</v>
      </c>
      <c r="K315" s="227">
        <v>8006</v>
      </c>
      <c r="L315" s="228">
        <f t="shared" si="47"/>
        <v>1767124.35</v>
      </c>
      <c r="M315" s="196"/>
      <c r="N315" s="416"/>
      <c r="O315" s="363"/>
      <c r="P315" s="249"/>
      <c r="Q315" s="358"/>
      <c r="R315" s="363"/>
      <c r="S315" s="250"/>
      <c r="T315" s="234"/>
      <c r="U315" s="235"/>
      <c r="V315" s="822"/>
      <c r="W315" s="823"/>
      <c r="X315" s="201"/>
      <c r="AA315" s="150"/>
    </row>
    <row r="316" spans="2:27" s="190" customFormat="1" ht="21" customHeight="1">
      <c r="B316" s="359" t="s">
        <v>156</v>
      </c>
      <c r="C316" s="856" t="s">
        <v>155</v>
      </c>
      <c r="D316" s="857"/>
      <c r="E316" s="857"/>
      <c r="F316" s="857"/>
      <c r="G316" s="857"/>
      <c r="H316" s="858"/>
      <c r="I316" s="366" t="s">
        <v>71</v>
      </c>
      <c r="J316" s="226">
        <v>59.25</v>
      </c>
      <c r="K316" s="227">
        <v>53106</v>
      </c>
      <c r="L316" s="228">
        <f t="shared" si="47"/>
        <v>3146530.5</v>
      </c>
      <c r="M316" s="196"/>
      <c r="N316" s="416"/>
      <c r="O316" s="363">
        <f t="shared" si="49"/>
        <v>0</v>
      </c>
      <c r="P316" s="249"/>
      <c r="Q316" s="358"/>
      <c r="R316" s="363">
        <f t="shared" si="50"/>
        <v>0</v>
      </c>
      <c r="S316" s="250"/>
      <c r="T316" s="234">
        <f t="shared" si="48"/>
        <v>0</v>
      </c>
      <c r="U316" s="235">
        <f t="shared" si="51"/>
        <v>0</v>
      </c>
      <c r="V316" s="822"/>
      <c r="W316" s="823"/>
      <c r="X316" s="201"/>
      <c r="AA316" s="150"/>
    </row>
    <row r="317" spans="2:27" s="190" customFormat="1" ht="21" customHeight="1">
      <c r="B317" s="359" t="s">
        <v>210</v>
      </c>
      <c r="C317" s="856" t="s">
        <v>211</v>
      </c>
      <c r="D317" s="857"/>
      <c r="E317" s="857"/>
      <c r="F317" s="857"/>
      <c r="G317" s="857"/>
      <c r="H317" s="858"/>
      <c r="I317" s="366" t="s">
        <v>71</v>
      </c>
      <c r="J317" s="226">
        <v>134.38999999999999</v>
      </c>
      <c r="K317" s="227">
        <v>74196</v>
      </c>
      <c r="L317" s="228">
        <f t="shared" si="47"/>
        <v>9971200.4399999995</v>
      </c>
      <c r="M317" s="196"/>
      <c r="N317" s="416"/>
      <c r="O317" s="363"/>
      <c r="P317" s="249"/>
      <c r="Q317" s="358"/>
      <c r="R317" s="363">
        <f t="shared" si="50"/>
        <v>0</v>
      </c>
      <c r="S317" s="250"/>
      <c r="T317" s="234">
        <f t="shared" si="48"/>
        <v>0</v>
      </c>
      <c r="U317" s="235">
        <f t="shared" si="51"/>
        <v>0</v>
      </c>
      <c r="V317" s="822"/>
      <c r="W317" s="823"/>
      <c r="X317" s="201"/>
      <c r="AA317" s="150"/>
    </row>
    <row r="318" spans="2:27" s="190" customFormat="1" ht="21" customHeight="1">
      <c r="B318" s="367">
        <v>5</v>
      </c>
      <c r="C318" s="938" t="s">
        <v>269</v>
      </c>
      <c r="D318" s="939"/>
      <c r="E318" s="939"/>
      <c r="F318" s="939"/>
      <c r="G318" s="939"/>
      <c r="H318" s="940"/>
      <c r="I318" s="366"/>
      <c r="J318" s="226"/>
      <c r="K318" s="227"/>
      <c r="L318" s="228">
        <f t="shared" si="47"/>
        <v>0</v>
      </c>
      <c r="M318" s="196"/>
      <c r="N318" s="416"/>
      <c r="O318" s="363">
        <f t="shared" si="49"/>
        <v>0</v>
      </c>
      <c r="P318" s="249"/>
      <c r="Q318" s="358"/>
      <c r="R318" s="363">
        <f t="shared" si="50"/>
        <v>0</v>
      </c>
      <c r="S318" s="250"/>
      <c r="T318" s="234">
        <f t="shared" si="48"/>
        <v>0</v>
      </c>
      <c r="U318" s="235">
        <f t="shared" si="51"/>
        <v>0</v>
      </c>
      <c r="V318" s="822"/>
      <c r="W318" s="823"/>
      <c r="X318" s="201"/>
      <c r="AA318" s="150"/>
    </row>
    <row r="319" spans="2:27" s="190" customFormat="1" ht="51.75" customHeight="1">
      <c r="B319" s="359" t="s">
        <v>126</v>
      </c>
      <c r="C319" s="856" t="s">
        <v>127</v>
      </c>
      <c r="D319" s="857"/>
      <c r="E319" s="857"/>
      <c r="F319" s="857"/>
      <c r="G319" s="857"/>
      <c r="H319" s="858"/>
      <c r="I319" s="366" t="s">
        <v>99</v>
      </c>
      <c r="J319" s="226">
        <v>832.33860000000004</v>
      </c>
      <c r="K319" s="227">
        <v>11372</v>
      </c>
      <c r="L319" s="228">
        <f t="shared" si="47"/>
        <v>9465354.5592</v>
      </c>
      <c r="M319" s="196"/>
      <c r="N319" s="416"/>
      <c r="O319" s="363">
        <f t="shared" si="49"/>
        <v>0</v>
      </c>
      <c r="P319" s="249"/>
      <c r="Q319" s="358"/>
      <c r="R319" s="363">
        <f t="shared" si="50"/>
        <v>0</v>
      </c>
      <c r="S319" s="250"/>
      <c r="T319" s="234">
        <f t="shared" si="48"/>
        <v>0</v>
      </c>
      <c r="U319" s="235">
        <f t="shared" si="51"/>
        <v>0</v>
      </c>
      <c r="V319" s="822"/>
      <c r="W319" s="823"/>
      <c r="X319" s="201"/>
      <c r="AA319" s="150"/>
    </row>
    <row r="320" spans="2:27" s="190" customFormat="1" ht="57" customHeight="1">
      <c r="B320" s="359" t="s">
        <v>128</v>
      </c>
      <c r="C320" s="856" t="s">
        <v>129</v>
      </c>
      <c r="D320" s="857"/>
      <c r="E320" s="857"/>
      <c r="F320" s="857"/>
      <c r="G320" s="857"/>
      <c r="H320" s="858"/>
      <c r="I320" s="366" t="s">
        <v>71</v>
      </c>
      <c r="J320" s="226">
        <v>204.58250000000001</v>
      </c>
      <c r="K320" s="227">
        <v>82081</v>
      </c>
      <c r="L320" s="228">
        <f t="shared" si="47"/>
        <v>16792336.182500001</v>
      </c>
      <c r="M320" s="196"/>
      <c r="N320" s="416"/>
      <c r="O320" s="363">
        <f t="shared" si="49"/>
        <v>0</v>
      </c>
      <c r="P320" s="249"/>
      <c r="Q320" s="358"/>
      <c r="R320" s="363">
        <f t="shared" si="50"/>
        <v>0</v>
      </c>
      <c r="S320" s="250"/>
      <c r="T320" s="234">
        <f t="shared" si="48"/>
        <v>0</v>
      </c>
      <c r="U320" s="235">
        <f t="shared" si="51"/>
        <v>0</v>
      </c>
      <c r="V320" s="822"/>
      <c r="W320" s="823"/>
      <c r="X320" s="201"/>
      <c r="AA320" s="150"/>
    </row>
    <row r="321" spans="2:27" s="190" customFormat="1" ht="27.75" customHeight="1">
      <c r="B321" s="367">
        <v>6</v>
      </c>
      <c r="C321" s="938" t="s">
        <v>216</v>
      </c>
      <c r="D321" s="939"/>
      <c r="E321" s="939"/>
      <c r="F321" s="939"/>
      <c r="G321" s="939"/>
      <c r="H321" s="940"/>
      <c r="I321" s="366"/>
      <c r="J321" s="226"/>
      <c r="K321" s="227"/>
      <c r="L321" s="228">
        <f t="shared" si="47"/>
        <v>0</v>
      </c>
      <c r="M321" s="196"/>
      <c r="N321" s="416"/>
      <c r="O321" s="363">
        <f t="shared" si="49"/>
        <v>0</v>
      </c>
      <c r="P321" s="249"/>
      <c r="Q321" s="358"/>
      <c r="R321" s="363">
        <f t="shared" si="50"/>
        <v>0</v>
      </c>
      <c r="S321" s="250"/>
      <c r="T321" s="234">
        <f t="shared" si="48"/>
        <v>0</v>
      </c>
      <c r="U321" s="235">
        <f t="shared" si="51"/>
        <v>0</v>
      </c>
      <c r="V321" s="822"/>
      <c r="W321" s="823"/>
      <c r="X321" s="201"/>
      <c r="AA321" s="150"/>
    </row>
    <row r="322" spans="2:27" s="190" customFormat="1" ht="39.75" customHeight="1">
      <c r="B322" s="359" t="s">
        <v>217</v>
      </c>
      <c r="C322" s="856" t="s">
        <v>218</v>
      </c>
      <c r="D322" s="857"/>
      <c r="E322" s="857"/>
      <c r="F322" s="857"/>
      <c r="G322" s="857"/>
      <c r="H322" s="858"/>
      <c r="I322" s="366" t="s">
        <v>132</v>
      </c>
      <c r="J322" s="226">
        <v>18.64</v>
      </c>
      <c r="K322" s="227">
        <v>98041</v>
      </c>
      <c r="L322" s="228">
        <f t="shared" si="47"/>
        <v>1827484.24</v>
      </c>
      <c r="M322" s="196"/>
      <c r="N322" s="416"/>
      <c r="O322" s="363">
        <f t="shared" si="49"/>
        <v>0</v>
      </c>
      <c r="P322" s="249"/>
      <c r="Q322" s="358"/>
      <c r="R322" s="363">
        <f t="shared" si="50"/>
        <v>0</v>
      </c>
      <c r="S322" s="250"/>
      <c r="T322" s="234">
        <f t="shared" si="48"/>
        <v>0</v>
      </c>
      <c r="U322" s="235">
        <f t="shared" si="51"/>
        <v>0</v>
      </c>
      <c r="V322" s="822"/>
      <c r="W322" s="823"/>
      <c r="X322" s="201"/>
      <c r="AA322" s="150"/>
    </row>
    <row r="323" spans="2:27" s="190" customFormat="1" ht="39.75" customHeight="1">
      <c r="B323" s="359" t="s">
        <v>147</v>
      </c>
      <c r="C323" s="905" t="s">
        <v>148</v>
      </c>
      <c r="D323" s="906"/>
      <c r="E323" s="906"/>
      <c r="F323" s="906"/>
      <c r="G323" s="906"/>
      <c r="H323" s="907"/>
      <c r="I323" s="366" t="s">
        <v>132</v>
      </c>
      <c r="J323" s="226">
        <v>16.799999999999997</v>
      </c>
      <c r="K323" s="227">
        <v>43105</v>
      </c>
      <c r="L323" s="228">
        <f t="shared" si="47"/>
        <v>724163.99999999988</v>
      </c>
      <c r="M323" s="196"/>
      <c r="N323" s="416"/>
      <c r="O323" s="363">
        <f t="shared" si="49"/>
        <v>0</v>
      </c>
      <c r="P323" s="249"/>
      <c r="Q323" s="358"/>
      <c r="R323" s="363">
        <f t="shared" si="50"/>
        <v>0</v>
      </c>
      <c r="S323" s="250"/>
      <c r="T323" s="234">
        <f t="shared" si="48"/>
        <v>0</v>
      </c>
      <c r="U323" s="235">
        <f t="shared" si="51"/>
        <v>0</v>
      </c>
      <c r="V323" s="822"/>
      <c r="W323" s="823"/>
      <c r="X323" s="201"/>
      <c r="AA323" s="150"/>
    </row>
    <row r="324" spans="2:27" s="190" customFormat="1" ht="39.75" customHeight="1">
      <c r="B324" s="359" t="s">
        <v>219</v>
      </c>
      <c r="C324" s="856" t="s">
        <v>220</v>
      </c>
      <c r="D324" s="857"/>
      <c r="E324" s="857"/>
      <c r="F324" s="857"/>
      <c r="G324" s="857"/>
      <c r="H324" s="858"/>
      <c r="I324" s="366" t="s">
        <v>79</v>
      </c>
      <c r="J324" s="226">
        <v>4</v>
      </c>
      <c r="K324" s="227">
        <v>98256</v>
      </c>
      <c r="L324" s="228">
        <f t="shared" si="47"/>
        <v>393024</v>
      </c>
      <c r="M324" s="196"/>
      <c r="N324" s="416"/>
      <c r="O324" s="363">
        <f t="shared" si="49"/>
        <v>0</v>
      </c>
      <c r="P324" s="249"/>
      <c r="Q324" s="358"/>
      <c r="R324" s="363">
        <f t="shared" si="50"/>
        <v>0</v>
      </c>
      <c r="S324" s="250"/>
      <c r="T324" s="234">
        <f t="shared" si="48"/>
        <v>0</v>
      </c>
      <c r="U324" s="235">
        <f t="shared" si="51"/>
        <v>0</v>
      </c>
      <c r="V324" s="822"/>
      <c r="W324" s="823"/>
      <c r="X324" s="201"/>
      <c r="AA324" s="150"/>
    </row>
    <row r="325" spans="2:27" s="190" customFormat="1" ht="39.75" customHeight="1">
      <c r="B325" s="367">
        <v>7</v>
      </c>
      <c r="C325" s="938" t="s">
        <v>221</v>
      </c>
      <c r="D325" s="939"/>
      <c r="E325" s="939"/>
      <c r="F325" s="939"/>
      <c r="G325" s="939"/>
      <c r="H325" s="940"/>
      <c r="I325" s="366"/>
      <c r="J325" s="226"/>
      <c r="K325" s="227"/>
      <c r="L325" s="228">
        <f t="shared" si="47"/>
        <v>0</v>
      </c>
      <c r="M325" s="196"/>
      <c r="N325" s="416"/>
      <c r="O325" s="363">
        <f t="shared" si="49"/>
        <v>0</v>
      </c>
      <c r="P325" s="249"/>
      <c r="Q325" s="358"/>
      <c r="R325" s="363">
        <f t="shared" si="50"/>
        <v>0</v>
      </c>
      <c r="S325" s="250"/>
      <c r="T325" s="234">
        <f t="shared" si="48"/>
        <v>0</v>
      </c>
      <c r="U325" s="235">
        <f t="shared" si="51"/>
        <v>0</v>
      </c>
      <c r="V325" s="822"/>
      <c r="W325" s="823"/>
      <c r="X325" s="201"/>
      <c r="AA325" s="150"/>
    </row>
    <row r="326" spans="2:27" s="190" customFormat="1" ht="39.75" customHeight="1">
      <c r="B326" s="359" t="s">
        <v>88</v>
      </c>
      <c r="C326" s="905" t="s">
        <v>89</v>
      </c>
      <c r="D326" s="906"/>
      <c r="E326" s="906"/>
      <c r="F326" s="906"/>
      <c r="G326" s="906"/>
      <c r="H326" s="907"/>
      <c r="I326" s="366" t="s">
        <v>91</v>
      </c>
      <c r="J326" s="226">
        <v>7.6349999999999998</v>
      </c>
      <c r="K326" s="227">
        <v>48450</v>
      </c>
      <c r="L326" s="228">
        <f t="shared" si="47"/>
        <v>369915.75</v>
      </c>
      <c r="M326" s="196"/>
      <c r="N326" s="316">
        <v>7.6349999999999998</v>
      </c>
      <c r="O326" s="179">
        <f t="shared" si="49"/>
        <v>369915.75</v>
      </c>
      <c r="P326" s="249"/>
      <c r="Q326" s="358"/>
      <c r="R326" s="363">
        <f t="shared" si="50"/>
        <v>0</v>
      </c>
      <c r="S326" s="250"/>
      <c r="T326" s="268">
        <f t="shared" si="48"/>
        <v>7.6349999999999998</v>
      </c>
      <c r="U326" s="279">
        <f t="shared" si="51"/>
        <v>369915.75</v>
      </c>
      <c r="V326" s="822"/>
      <c r="W326" s="823"/>
      <c r="X326" s="201"/>
      <c r="AA326" s="150"/>
    </row>
    <row r="327" spans="2:27" s="190" customFormat="1" ht="35.25" customHeight="1">
      <c r="B327" s="359" t="s">
        <v>222</v>
      </c>
      <c r="C327" s="856" t="s">
        <v>223</v>
      </c>
      <c r="D327" s="857"/>
      <c r="E327" s="857"/>
      <c r="F327" s="857"/>
      <c r="G327" s="857"/>
      <c r="H327" s="858"/>
      <c r="I327" s="366" t="s">
        <v>132</v>
      </c>
      <c r="J327" s="226">
        <v>33.5</v>
      </c>
      <c r="K327" s="227">
        <v>53560</v>
      </c>
      <c r="L327" s="228">
        <f t="shared" si="47"/>
        <v>1794260</v>
      </c>
      <c r="M327" s="196"/>
      <c r="N327" s="316">
        <v>33.5</v>
      </c>
      <c r="O327" s="179">
        <f t="shared" si="49"/>
        <v>1794260</v>
      </c>
      <c r="P327" s="249"/>
      <c r="Q327" s="358"/>
      <c r="R327" s="363">
        <f t="shared" si="50"/>
        <v>0</v>
      </c>
      <c r="S327" s="250"/>
      <c r="T327" s="268">
        <f t="shared" si="48"/>
        <v>33.5</v>
      </c>
      <c r="U327" s="279">
        <f t="shared" si="51"/>
        <v>1794260</v>
      </c>
      <c r="V327" s="822"/>
      <c r="W327" s="823"/>
      <c r="X327" s="201"/>
      <c r="AA327" s="150"/>
    </row>
    <row r="328" spans="2:27" s="190" customFormat="1" ht="36" customHeight="1">
      <c r="B328" s="359" t="s">
        <v>224</v>
      </c>
      <c r="C328" s="856" t="s">
        <v>225</v>
      </c>
      <c r="D328" s="857"/>
      <c r="E328" s="857"/>
      <c r="F328" s="857"/>
      <c r="G328" s="857"/>
      <c r="H328" s="858"/>
      <c r="I328" s="366" t="s">
        <v>132</v>
      </c>
      <c r="J328" s="226">
        <v>6</v>
      </c>
      <c r="K328" s="227">
        <v>29412</v>
      </c>
      <c r="L328" s="228">
        <f t="shared" si="47"/>
        <v>176472</v>
      </c>
      <c r="M328" s="196"/>
      <c r="N328" s="316">
        <v>6</v>
      </c>
      <c r="O328" s="179">
        <f t="shared" si="49"/>
        <v>176472</v>
      </c>
      <c r="P328" s="249"/>
      <c r="Q328" s="358"/>
      <c r="R328" s="363">
        <f t="shared" si="50"/>
        <v>0</v>
      </c>
      <c r="S328" s="250"/>
      <c r="T328" s="268">
        <f t="shared" si="48"/>
        <v>6</v>
      </c>
      <c r="U328" s="279">
        <f t="shared" si="51"/>
        <v>176472</v>
      </c>
      <c r="V328" s="822"/>
      <c r="W328" s="823"/>
      <c r="X328" s="201"/>
      <c r="AA328" s="150"/>
    </row>
    <row r="329" spans="2:27" s="190" customFormat="1" ht="31.5" customHeight="1">
      <c r="B329" s="359" t="s">
        <v>226</v>
      </c>
      <c r="C329" s="905" t="s">
        <v>271</v>
      </c>
      <c r="D329" s="906"/>
      <c r="E329" s="906"/>
      <c r="F329" s="906"/>
      <c r="G329" s="906"/>
      <c r="H329" s="907"/>
      <c r="I329" s="366" t="s">
        <v>79</v>
      </c>
      <c r="J329" s="226">
        <v>6</v>
      </c>
      <c r="K329" s="227">
        <v>71514</v>
      </c>
      <c r="L329" s="228">
        <f t="shared" si="47"/>
        <v>429084</v>
      </c>
      <c r="M329" s="196"/>
      <c r="N329" s="316">
        <v>6</v>
      </c>
      <c r="O329" s="179">
        <f t="shared" si="49"/>
        <v>429084</v>
      </c>
      <c r="P329" s="249"/>
      <c r="Q329" s="358"/>
      <c r="R329" s="363">
        <f t="shared" si="50"/>
        <v>0</v>
      </c>
      <c r="S329" s="250"/>
      <c r="T329" s="268">
        <f t="shared" si="48"/>
        <v>6</v>
      </c>
      <c r="U329" s="279">
        <f t="shared" si="51"/>
        <v>429084</v>
      </c>
      <c r="V329" s="822"/>
      <c r="W329" s="823"/>
      <c r="X329" s="201"/>
      <c r="AA329" s="150"/>
    </row>
    <row r="330" spans="2:27" s="190" customFormat="1" ht="35.25" customHeight="1">
      <c r="B330" s="359" t="s">
        <v>228</v>
      </c>
      <c r="C330" s="856" t="s">
        <v>272</v>
      </c>
      <c r="D330" s="857"/>
      <c r="E330" s="857"/>
      <c r="F330" s="857"/>
      <c r="G330" s="857"/>
      <c r="H330" s="858"/>
      <c r="I330" s="366" t="s">
        <v>132</v>
      </c>
      <c r="J330" s="226">
        <v>40</v>
      </c>
      <c r="K330" s="227">
        <v>26208</v>
      </c>
      <c r="L330" s="228">
        <f t="shared" si="47"/>
        <v>1048320</v>
      </c>
      <c r="M330" s="196"/>
      <c r="N330" s="316"/>
      <c r="O330" s="363"/>
      <c r="P330" s="249"/>
      <c r="Q330" s="358"/>
      <c r="R330" s="363">
        <f t="shared" si="50"/>
        <v>0</v>
      </c>
      <c r="S330" s="250"/>
      <c r="T330" s="268">
        <f t="shared" si="48"/>
        <v>0</v>
      </c>
      <c r="U330" s="279">
        <f t="shared" si="51"/>
        <v>0</v>
      </c>
      <c r="V330" s="822"/>
      <c r="W330" s="823"/>
      <c r="X330" s="201"/>
      <c r="AA330" s="150"/>
    </row>
    <row r="331" spans="2:27" s="190" customFormat="1" ht="33.75" customHeight="1">
      <c r="B331" s="359" t="s">
        <v>230</v>
      </c>
      <c r="C331" s="856" t="s">
        <v>231</v>
      </c>
      <c r="D331" s="857"/>
      <c r="E331" s="857"/>
      <c r="F331" s="857"/>
      <c r="G331" s="857"/>
      <c r="H331" s="858"/>
      <c r="I331" s="366" t="s">
        <v>79</v>
      </c>
      <c r="J331" s="226">
        <v>4</v>
      </c>
      <c r="K331" s="227">
        <v>61343</v>
      </c>
      <c r="L331" s="228">
        <f t="shared" si="47"/>
        <v>245372</v>
      </c>
      <c r="M331" s="196"/>
      <c r="N331" s="316">
        <v>4</v>
      </c>
      <c r="O331" s="363">
        <f t="shared" si="49"/>
        <v>245372</v>
      </c>
      <c r="P331" s="249"/>
      <c r="Q331" s="358"/>
      <c r="R331" s="363">
        <f t="shared" si="50"/>
        <v>0</v>
      </c>
      <c r="S331" s="250"/>
      <c r="T331" s="268">
        <f t="shared" si="48"/>
        <v>4</v>
      </c>
      <c r="U331" s="279">
        <f t="shared" si="51"/>
        <v>245372</v>
      </c>
      <c r="V331" s="822"/>
      <c r="W331" s="823"/>
      <c r="X331" s="201"/>
      <c r="AA331" s="150"/>
    </row>
    <row r="332" spans="2:27" s="190" customFormat="1" ht="35.25" customHeight="1">
      <c r="B332" s="359" t="s">
        <v>232</v>
      </c>
      <c r="C332" s="856" t="s">
        <v>293</v>
      </c>
      <c r="D332" s="857"/>
      <c r="E332" s="857"/>
      <c r="F332" s="857"/>
      <c r="G332" s="857"/>
      <c r="H332" s="858"/>
      <c r="I332" s="366" t="s">
        <v>234</v>
      </c>
      <c r="J332" s="226">
        <v>2</v>
      </c>
      <c r="K332" s="227">
        <v>123149</v>
      </c>
      <c r="L332" s="228">
        <f t="shared" si="47"/>
        <v>246298</v>
      </c>
      <c r="M332" s="196"/>
      <c r="N332" s="316"/>
      <c r="O332" s="363">
        <f t="shared" si="49"/>
        <v>0</v>
      </c>
      <c r="P332" s="249"/>
      <c r="Q332" s="358"/>
      <c r="R332" s="363">
        <f t="shared" si="50"/>
        <v>0</v>
      </c>
      <c r="S332" s="250"/>
      <c r="T332" s="268">
        <f t="shared" si="48"/>
        <v>0</v>
      </c>
      <c r="U332" s="279">
        <f t="shared" si="51"/>
        <v>0</v>
      </c>
      <c r="V332" s="822"/>
      <c r="W332" s="823"/>
      <c r="X332" s="201"/>
      <c r="AA332" s="150"/>
    </row>
    <row r="333" spans="2:27" s="190" customFormat="1" ht="39.75" customHeight="1">
      <c r="B333" s="359" t="s">
        <v>235</v>
      </c>
      <c r="C333" s="856" t="s">
        <v>274</v>
      </c>
      <c r="D333" s="857"/>
      <c r="E333" s="857"/>
      <c r="F333" s="857"/>
      <c r="G333" s="857"/>
      <c r="H333" s="858"/>
      <c r="I333" s="366" t="s">
        <v>79</v>
      </c>
      <c r="J333" s="226">
        <v>2</v>
      </c>
      <c r="K333" s="227">
        <v>485705</v>
      </c>
      <c r="L333" s="228">
        <f t="shared" si="47"/>
        <v>971410</v>
      </c>
      <c r="M333" s="196"/>
      <c r="N333" s="316">
        <v>1</v>
      </c>
      <c r="O333" s="363">
        <f t="shared" si="49"/>
        <v>485705</v>
      </c>
      <c r="P333" s="249"/>
      <c r="Q333" s="358"/>
      <c r="R333" s="363">
        <f t="shared" si="50"/>
        <v>0</v>
      </c>
      <c r="S333" s="250"/>
      <c r="T333" s="268">
        <f t="shared" si="48"/>
        <v>1</v>
      </c>
      <c r="U333" s="279">
        <f t="shared" si="51"/>
        <v>485705</v>
      </c>
      <c r="V333" s="822"/>
      <c r="W333" s="823"/>
      <c r="X333" s="201"/>
      <c r="AA333" s="150"/>
    </row>
    <row r="334" spans="2:27" s="190" customFormat="1" ht="39.75" customHeight="1">
      <c r="B334" s="359" t="s">
        <v>237</v>
      </c>
      <c r="C334" s="856" t="s">
        <v>238</v>
      </c>
      <c r="D334" s="857"/>
      <c r="E334" s="857"/>
      <c r="F334" s="857"/>
      <c r="G334" s="857"/>
      <c r="H334" s="858"/>
      <c r="I334" s="366" t="s">
        <v>79</v>
      </c>
      <c r="J334" s="226">
        <v>1</v>
      </c>
      <c r="K334" s="227">
        <v>670243</v>
      </c>
      <c r="L334" s="228">
        <f t="shared" si="47"/>
        <v>670243</v>
      </c>
      <c r="M334" s="196"/>
      <c r="N334" s="316"/>
      <c r="O334" s="363"/>
      <c r="P334" s="249"/>
      <c r="Q334" s="358"/>
      <c r="R334" s="363">
        <f t="shared" si="50"/>
        <v>0</v>
      </c>
      <c r="S334" s="250"/>
      <c r="T334" s="268">
        <f t="shared" si="48"/>
        <v>0</v>
      </c>
      <c r="U334" s="279">
        <f t="shared" si="51"/>
        <v>0</v>
      </c>
      <c r="V334" s="822"/>
      <c r="W334" s="823"/>
      <c r="X334" s="201"/>
      <c r="AA334" s="150"/>
    </row>
    <row r="335" spans="2:27" s="190" customFormat="1" ht="39.75" customHeight="1">
      <c r="B335" s="359" t="s">
        <v>239</v>
      </c>
      <c r="C335" s="856" t="s">
        <v>294</v>
      </c>
      <c r="D335" s="857"/>
      <c r="E335" s="857"/>
      <c r="F335" s="857"/>
      <c r="G335" s="857"/>
      <c r="H335" s="858"/>
      <c r="I335" s="366" t="s">
        <v>79</v>
      </c>
      <c r="J335" s="226">
        <v>1</v>
      </c>
      <c r="K335" s="227">
        <v>3995311</v>
      </c>
      <c r="L335" s="228">
        <f t="shared" si="47"/>
        <v>3995311</v>
      </c>
      <c r="M335" s="196"/>
      <c r="N335" s="416"/>
      <c r="O335" s="363"/>
      <c r="P335" s="249"/>
      <c r="Q335" s="358"/>
      <c r="R335" s="363">
        <f t="shared" si="50"/>
        <v>0</v>
      </c>
      <c r="S335" s="250"/>
      <c r="T335" s="268">
        <f t="shared" si="48"/>
        <v>0</v>
      </c>
      <c r="U335" s="279">
        <f t="shared" si="51"/>
        <v>0</v>
      </c>
      <c r="V335" s="822"/>
      <c r="W335" s="823"/>
      <c r="X335" s="201"/>
      <c r="AA335" s="150"/>
    </row>
    <row r="336" spans="2:27" s="190" customFormat="1" ht="39.75" customHeight="1">
      <c r="B336" s="359" t="s">
        <v>295</v>
      </c>
      <c r="C336" s="856" t="s">
        <v>296</v>
      </c>
      <c r="D336" s="857"/>
      <c r="E336" s="857"/>
      <c r="F336" s="857"/>
      <c r="G336" s="857"/>
      <c r="H336" s="858"/>
      <c r="I336" s="366" t="s">
        <v>79</v>
      </c>
      <c r="J336" s="226">
        <v>2</v>
      </c>
      <c r="K336" s="227">
        <v>294568</v>
      </c>
      <c r="L336" s="228">
        <f t="shared" si="47"/>
        <v>589136</v>
      </c>
      <c r="M336" s="196"/>
      <c r="N336" s="416"/>
      <c r="O336" s="363"/>
      <c r="P336" s="249"/>
      <c r="Q336" s="358"/>
      <c r="R336" s="363"/>
      <c r="S336" s="250"/>
      <c r="T336" s="268"/>
      <c r="U336" s="279"/>
      <c r="V336" s="822"/>
      <c r="W336" s="823"/>
      <c r="X336" s="201"/>
      <c r="AA336" s="150"/>
    </row>
    <row r="337" spans="2:27" s="190" customFormat="1" ht="39.75" customHeight="1">
      <c r="B337" s="359" t="s">
        <v>297</v>
      </c>
      <c r="C337" s="856" t="s">
        <v>298</v>
      </c>
      <c r="D337" s="857"/>
      <c r="E337" s="857"/>
      <c r="F337" s="857"/>
      <c r="G337" s="857"/>
      <c r="H337" s="858"/>
      <c r="I337" s="366" t="s">
        <v>79</v>
      </c>
      <c r="J337" s="226">
        <v>2</v>
      </c>
      <c r="K337" s="227">
        <v>378612</v>
      </c>
      <c r="L337" s="228">
        <f t="shared" si="47"/>
        <v>757224</v>
      </c>
      <c r="M337" s="196"/>
      <c r="N337" s="416"/>
      <c r="O337" s="363"/>
      <c r="P337" s="249"/>
      <c r="Q337" s="358"/>
      <c r="R337" s="363"/>
      <c r="S337" s="250"/>
      <c r="T337" s="268"/>
      <c r="U337" s="279"/>
      <c r="V337" s="822"/>
      <c r="W337" s="823"/>
      <c r="X337" s="201"/>
      <c r="AA337" s="150"/>
    </row>
    <row r="338" spans="2:27" s="190" customFormat="1" ht="33.75" customHeight="1">
      <c r="B338" s="367">
        <v>8</v>
      </c>
      <c r="C338" s="938" t="s">
        <v>241</v>
      </c>
      <c r="D338" s="939"/>
      <c r="E338" s="939"/>
      <c r="F338" s="939"/>
      <c r="G338" s="939"/>
      <c r="H338" s="940"/>
      <c r="I338" s="366"/>
      <c r="J338" s="226"/>
      <c r="K338" s="227"/>
      <c r="L338" s="228">
        <f t="shared" si="47"/>
        <v>0</v>
      </c>
      <c r="M338" s="196"/>
      <c r="N338" s="416"/>
      <c r="O338" s="363">
        <f t="shared" si="49"/>
        <v>0</v>
      </c>
      <c r="P338" s="249"/>
      <c r="Q338" s="358"/>
      <c r="R338" s="363">
        <f t="shared" si="50"/>
        <v>0</v>
      </c>
      <c r="S338" s="250"/>
      <c r="T338" s="268">
        <f t="shared" si="48"/>
        <v>0</v>
      </c>
      <c r="U338" s="279">
        <f t="shared" si="51"/>
        <v>0</v>
      </c>
      <c r="V338" s="822"/>
      <c r="W338" s="823"/>
      <c r="X338" s="201"/>
      <c r="AA338" s="150"/>
    </row>
    <row r="339" spans="2:27" s="190" customFormat="1" ht="39.75" customHeight="1">
      <c r="B339" s="359" t="s">
        <v>134</v>
      </c>
      <c r="C339" s="856" t="s">
        <v>135</v>
      </c>
      <c r="D339" s="857"/>
      <c r="E339" s="857"/>
      <c r="F339" s="857"/>
      <c r="G339" s="857"/>
      <c r="H339" s="858"/>
      <c r="I339" s="366" t="s">
        <v>234</v>
      </c>
      <c r="J339" s="226">
        <v>1</v>
      </c>
      <c r="K339" s="227">
        <v>389505</v>
      </c>
      <c r="L339" s="228">
        <f t="shared" si="47"/>
        <v>389505</v>
      </c>
      <c r="M339" s="196"/>
      <c r="N339" s="416"/>
      <c r="O339" s="363">
        <f t="shared" si="49"/>
        <v>0</v>
      </c>
      <c r="P339" s="249"/>
      <c r="Q339" s="358"/>
      <c r="R339" s="363">
        <f t="shared" si="50"/>
        <v>0</v>
      </c>
      <c r="S339" s="250"/>
      <c r="T339" s="268">
        <f t="shared" si="48"/>
        <v>0</v>
      </c>
      <c r="U339" s="279">
        <f t="shared" si="51"/>
        <v>0</v>
      </c>
      <c r="V339" s="822"/>
      <c r="W339" s="823"/>
      <c r="X339" s="201"/>
      <c r="AA339" s="150"/>
    </row>
    <row r="340" spans="2:27" s="190" customFormat="1" ht="39.75" customHeight="1">
      <c r="B340" s="359" t="s">
        <v>140</v>
      </c>
      <c r="C340" s="856" t="s">
        <v>141</v>
      </c>
      <c r="D340" s="857"/>
      <c r="E340" s="857"/>
      <c r="F340" s="857"/>
      <c r="G340" s="857"/>
      <c r="H340" s="858"/>
      <c r="I340" s="366" t="s">
        <v>234</v>
      </c>
      <c r="J340" s="226">
        <v>26</v>
      </c>
      <c r="K340" s="227">
        <v>102246</v>
      </c>
      <c r="L340" s="228">
        <f t="shared" si="47"/>
        <v>2658396</v>
      </c>
      <c r="M340" s="196"/>
      <c r="N340" s="416"/>
      <c r="O340" s="363">
        <f t="shared" si="49"/>
        <v>0</v>
      </c>
      <c r="P340" s="249"/>
      <c r="Q340" s="358"/>
      <c r="R340" s="363">
        <f t="shared" si="50"/>
        <v>0</v>
      </c>
      <c r="S340" s="250"/>
      <c r="T340" s="268">
        <f t="shared" si="48"/>
        <v>0</v>
      </c>
      <c r="U340" s="279">
        <f t="shared" si="51"/>
        <v>0</v>
      </c>
      <c r="V340" s="822"/>
      <c r="W340" s="823"/>
      <c r="X340" s="201"/>
      <c r="AA340" s="150"/>
    </row>
    <row r="341" spans="2:27" s="190" customFormat="1" ht="39.75" customHeight="1">
      <c r="B341" s="359" t="s">
        <v>136</v>
      </c>
      <c r="C341" s="856" t="s">
        <v>137</v>
      </c>
      <c r="D341" s="857"/>
      <c r="E341" s="857"/>
      <c r="F341" s="857"/>
      <c r="G341" s="857"/>
      <c r="H341" s="858"/>
      <c r="I341" s="366" t="s">
        <v>79</v>
      </c>
      <c r="J341" s="226">
        <v>6</v>
      </c>
      <c r="K341" s="227">
        <v>112028</v>
      </c>
      <c r="L341" s="228">
        <f t="shared" si="47"/>
        <v>672168</v>
      </c>
      <c r="M341" s="196"/>
      <c r="N341" s="416"/>
      <c r="O341" s="363">
        <f t="shared" si="49"/>
        <v>0</v>
      </c>
      <c r="P341" s="249"/>
      <c r="Q341" s="358"/>
      <c r="R341" s="363">
        <f t="shared" si="50"/>
        <v>0</v>
      </c>
      <c r="S341" s="250"/>
      <c r="T341" s="268">
        <f t="shared" si="48"/>
        <v>0</v>
      </c>
      <c r="U341" s="279">
        <f t="shared" si="51"/>
        <v>0</v>
      </c>
      <c r="V341" s="822"/>
      <c r="W341" s="823"/>
      <c r="X341" s="201"/>
      <c r="AA341" s="150"/>
    </row>
    <row r="342" spans="2:27" s="190" customFormat="1" ht="39.75" customHeight="1">
      <c r="B342" s="359" t="s">
        <v>242</v>
      </c>
      <c r="C342" s="856" t="s">
        <v>243</v>
      </c>
      <c r="D342" s="857"/>
      <c r="E342" s="857"/>
      <c r="F342" s="857"/>
      <c r="G342" s="857"/>
      <c r="H342" s="858"/>
      <c r="I342" s="366" t="s">
        <v>79</v>
      </c>
      <c r="J342" s="226">
        <v>4</v>
      </c>
      <c r="K342" s="227">
        <v>98013</v>
      </c>
      <c r="L342" s="228">
        <f t="shared" si="47"/>
        <v>392052</v>
      </c>
      <c r="M342" s="196"/>
      <c r="N342" s="416"/>
      <c r="O342" s="363">
        <f t="shared" si="49"/>
        <v>0</v>
      </c>
      <c r="P342" s="249"/>
      <c r="Q342" s="358"/>
      <c r="R342" s="363">
        <f t="shared" si="50"/>
        <v>0</v>
      </c>
      <c r="S342" s="250"/>
      <c r="T342" s="268">
        <f t="shared" si="48"/>
        <v>0</v>
      </c>
      <c r="U342" s="279">
        <f t="shared" si="51"/>
        <v>0</v>
      </c>
      <c r="V342" s="822"/>
      <c r="W342" s="823"/>
      <c r="X342" s="201"/>
      <c r="AA342" s="150"/>
    </row>
    <row r="343" spans="2:27" s="190" customFormat="1" ht="39.75" customHeight="1">
      <c r="B343" s="359" t="s">
        <v>276</v>
      </c>
      <c r="C343" s="905" t="s">
        <v>277</v>
      </c>
      <c r="D343" s="906"/>
      <c r="E343" s="906"/>
      <c r="F343" s="906"/>
      <c r="G343" s="906"/>
      <c r="H343" s="907"/>
      <c r="I343" s="366" t="s">
        <v>234</v>
      </c>
      <c r="J343" s="226">
        <v>19</v>
      </c>
      <c r="K343" s="227">
        <v>115242</v>
      </c>
      <c r="L343" s="228">
        <f t="shared" si="47"/>
        <v>2189598</v>
      </c>
      <c r="M343" s="196"/>
      <c r="N343" s="416"/>
      <c r="O343" s="363">
        <f t="shared" si="49"/>
        <v>0</v>
      </c>
      <c r="P343" s="249"/>
      <c r="Q343" s="358"/>
      <c r="R343" s="363">
        <f t="shared" si="50"/>
        <v>0</v>
      </c>
      <c r="S343" s="250"/>
      <c r="T343" s="268">
        <f t="shared" si="48"/>
        <v>0</v>
      </c>
      <c r="U343" s="279">
        <f t="shared" si="51"/>
        <v>0</v>
      </c>
      <c r="V343" s="822"/>
      <c r="W343" s="823"/>
      <c r="X343" s="201"/>
      <c r="AA343" s="150"/>
    </row>
    <row r="344" spans="2:27" s="190" customFormat="1" ht="52.5" customHeight="1">
      <c r="B344" s="359" t="s">
        <v>142</v>
      </c>
      <c r="C344" s="856" t="s">
        <v>143</v>
      </c>
      <c r="D344" s="857"/>
      <c r="E344" s="857"/>
      <c r="F344" s="857"/>
      <c r="G344" s="857"/>
      <c r="H344" s="858"/>
      <c r="I344" s="366" t="s">
        <v>79</v>
      </c>
      <c r="J344" s="226">
        <v>19</v>
      </c>
      <c r="K344" s="227">
        <v>237008</v>
      </c>
      <c r="L344" s="228">
        <f t="shared" si="47"/>
        <v>4503152</v>
      </c>
      <c r="M344" s="196"/>
      <c r="N344" s="416"/>
      <c r="O344" s="363">
        <f t="shared" si="49"/>
        <v>0</v>
      </c>
      <c r="P344" s="249"/>
      <c r="Q344" s="358"/>
      <c r="R344" s="363">
        <f t="shared" si="50"/>
        <v>0</v>
      </c>
      <c r="S344" s="250"/>
      <c r="T344" s="268">
        <f t="shared" si="48"/>
        <v>0</v>
      </c>
      <c r="U344" s="279">
        <f t="shared" si="51"/>
        <v>0</v>
      </c>
      <c r="V344" s="822"/>
      <c r="W344" s="823"/>
      <c r="X344" s="201"/>
      <c r="AA344" s="150"/>
    </row>
    <row r="345" spans="2:27" s="190" customFormat="1" ht="30.75" customHeight="1">
      <c r="B345" s="359" t="s">
        <v>228</v>
      </c>
      <c r="C345" s="905" t="s">
        <v>229</v>
      </c>
      <c r="D345" s="906"/>
      <c r="E345" s="906"/>
      <c r="F345" s="906"/>
      <c r="G345" s="906"/>
      <c r="H345" s="907"/>
      <c r="I345" s="366" t="s">
        <v>132</v>
      </c>
      <c r="J345" s="226">
        <v>105.22817722591309</v>
      </c>
      <c r="K345" s="227">
        <v>17604</v>
      </c>
      <c r="L345" s="228">
        <f t="shared" si="47"/>
        <v>1852436.8318849739</v>
      </c>
      <c r="M345" s="196"/>
      <c r="N345" s="416"/>
      <c r="O345" s="363">
        <f t="shared" si="49"/>
        <v>0</v>
      </c>
      <c r="P345" s="249"/>
      <c r="Q345" s="358"/>
      <c r="R345" s="363">
        <f t="shared" si="50"/>
        <v>0</v>
      </c>
      <c r="S345" s="250"/>
      <c r="T345" s="268">
        <f t="shared" si="48"/>
        <v>0</v>
      </c>
      <c r="U345" s="279">
        <f t="shared" si="51"/>
        <v>0</v>
      </c>
      <c r="V345" s="822"/>
      <c r="W345" s="823"/>
      <c r="X345" s="201"/>
      <c r="AA345" s="150"/>
    </row>
    <row r="346" spans="2:27" s="190" customFormat="1" ht="34.5" customHeight="1">
      <c r="B346" s="359" t="s">
        <v>246</v>
      </c>
      <c r="C346" s="856" t="s">
        <v>247</v>
      </c>
      <c r="D346" s="857"/>
      <c r="E346" s="857"/>
      <c r="F346" s="857"/>
      <c r="G346" s="857"/>
      <c r="H346" s="858"/>
      <c r="I346" s="366" t="s">
        <v>79</v>
      </c>
      <c r="J346" s="226">
        <v>1</v>
      </c>
      <c r="K346" s="227">
        <v>1142729</v>
      </c>
      <c r="L346" s="228">
        <f t="shared" si="47"/>
        <v>1142729</v>
      </c>
      <c r="M346" s="196"/>
      <c r="N346" s="416"/>
      <c r="O346" s="363">
        <f t="shared" si="49"/>
        <v>0</v>
      </c>
      <c r="P346" s="249"/>
      <c r="Q346" s="358"/>
      <c r="R346" s="363">
        <f t="shared" si="50"/>
        <v>0</v>
      </c>
      <c r="S346" s="250"/>
      <c r="T346" s="268">
        <f t="shared" si="48"/>
        <v>0</v>
      </c>
      <c r="U346" s="279">
        <f t="shared" si="51"/>
        <v>0</v>
      </c>
      <c r="V346" s="822"/>
      <c r="W346" s="823"/>
      <c r="X346" s="201"/>
      <c r="AA346" s="150"/>
    </row>
    <row r="347" spans="2:27" s="190" customFormat="1" ht="39.75" customHeight="1">
      <c r="B347" s="367">
        <v>9</v>
      </c>
      <c r="C347" s="938" t="s">
        <v>248</v>
      </c>
      <c r="D347" s="939"/>
      <c r="E347" s="939"/>
      <c r="F347" s="939"/>
      <c r="G347" s="939"/>
      <c r="H347" s="940"/>
      <c r="I347" s="366"/>
      <c r="J347" s="226"/>
      <c r="K347" s="227"/>
      <c r="L347" s="228">
        <f t="shared" si="47"/>
        <v>0</v>
      </c>
      <c r="M347" s="196"/>
      <c r="N347" s="416"/>
      <c r="O347" s="363">
        <f t="shared" si="49"/>
        <v>0</v>
      </c>
      <c r="P347" s="249"/>
      <c r="Q347" s="358"/>
      <c r="R347" s="363">
        <f t="shared" si="50"/>
        <v>0</v>
      </c>
      <c r="S347" s="250"/>
      <c r="T347" s="268">
        <f t="shared" si="48"/>
        <v>0</v>
      </c>
      <c r="U347" s="279">
        <f t="shared" si="51"/>
        <v>0</v>
      </c>
      <c r="V347" s="822"/>
      <c r="W347" s="823"/>
      <c r="X347" s="201"/>
      <c r="AA347" s="150"/>
    </row>
    <row r="348" spans="2:27" s="190" customFormat="1" ht="26.25" customHeight="1">
      <c r="B348" s="359" t="s">
        <v>249</v>
      </c>
      <c r="C348" s="968" t="s">
        <v>250</v>
      </c>
      <c r="D348" s="969"/>
      <c r="E348" s="969"/>
      <c r="F348" s="969"/>
      <c r="G348" s="969"/>
      <c r="H348" s="970"/>
      <c r="I348" s="366" t="s">
        <v>71</v>
      </c>
      <c r="J348" s="226">
        <v>22.2</v>
      </c>
      <c r="K348" s="227">
        <v>245196</v>
      </c>
      <c r="L348" s="228">
        <f t="shared" si="47"/>
        <v>5443351.2000000002</v>
      </c>
      <c r="M348" s="196"/>
      <c r="N348" s="416"/>
      <c r="O348" s="363">
        <f t="shared" si="49"/>
        <v>0</v>
      </c>
      <c r="P348" s="249"/>
      <c r="Q348" s="358"/>
      <c r="R348" s="363">
        <f t="shared" si="50"/>
        <v>0</v>
      </c>
      <c r="S348" s="250"/>
      <c r="T348" s="268">
        <f t="shared" si="48"/>
        <v>0</v>
      </c>
      <c r="U348" s="279">
        <f t="shared" si="51"/>
        <v>0</v>
      </c>
      <c r="V348" s="822"/>
      <c r="W348" s="823"/>
      <c r="X348" s="201"/>
      <c r="AA348" s="150"/>
    </row>
    <row r="349" spans="2:27" s="190" customFormat="1" ht="39.75" customHeight="1">
      <c r="B349" s="359" t="s">
        <v>166</v>
      </c>
      <c r="C349" s="968" t="s">
        <v>167</v>
      </c>
      <c r="D349" s="969"/>
      <c r="E349" s="969"/>
      <c r="F349" s="969"/>
      <c r="G349" s="969"/>
      <c r="H349" s="970"/>
      <c r="I349" s="366" t="s">
        <v>71</v>
      </c>
      <c r="J349" s="226">
        <v>22.2</v>
      </c>
      <c r="K349" s="227">
        <v>113214</v>
      </c>
      <c r="L349" s="228">
        <f t="shared" si="47"/>
        <v>2513350.7999999998</v>
      </c>
      <c r="M349" s="196"/>
      <c r="N349" s="416"/>
      <c r="O349" s="363">
        <f t="shared" si="49"/>
        <v>0</v>
      </c>
      <c r="P349" s="249"/>
      <c r="Q349" s="358"/>
      <c r="R349" s="363">
        <f t="shared" si="50"/>
        <v>0</v>
      </c>
      <c r="S349" s="250"/>
      <c r="T349" s="268">
        <f t="shared" si="48"/>
        <v>0</v>
      </c>
      <c r="U349" s="279">
        <f t="shared" si="51"/>
        <v>0</v>
      </c>
      <c r="V349" s="822"/>
      <c r="W349" s="823"/>
      <c r="X349" s="201"/>
      <c r="AA349" s="150"/>
    </row>
    <row r="350" spans="2:27" s="190" customFormat="1" ht="39.75" customHeight="1">
      <c r="B350" s="359" t="s">
        <v>162</v>
      </c>
      <c r="C350" s="968" t="s">
        <v>163</v>
      </c>
      <c r="D350" s="969"/>
      <c r="E350" s="969"/>
      <c r="F350" s="969"/>
      <c r="G350" s="969"/>
      <c r="H350" s="970"/>
      <c r="I350" s="366" t="s">
        <v>71</v>
      </c>
      <c r="J350" s="226">
        <v>12</v>
      </c>
      <c r="K350" s="227">
        <v>422186</v>
      </c>
      <c r="L350" s="228">
        <f t="shared" si="47"/>
        <v>5066232</v>
      </c>
      <c r="M350" s="196"/>
      <c r="N350" s="416"/>
      <c r="O350" s="363">
        <f t="shared" si="49"/>
        <v>0</v>
      </c>
      <c r="P350" s="249"/>
      <c r="Q350" s="358"/>
      <c r="R350" s="363">
        <f t="shared" si="50"/>
        <v>0</v>
      </c>
      <c r="S350" s="250"/>
      <c r="T350" s="268">
        <f t="shared" si="48"/>
        <v>0</v>
      </c>
      <c r="U350" s="279">
        <f t="shared" si="51"/>
        <v>0</v>
      </c>
      <c r="V350" s="822"/>
      <c r="W350" s="823"/>
      <c r="X350" s="201"/>
      <c r="AA350" s="150"/>
    </row>
    <row r="351" spans="2:27" s="190" customFormat="1" ht="31.5" customHeight="1">
      <c r="B351" s="359" t="s">
        <v>159</v>
      </c>
      <c r="C351" s="971" t="s">
        <v>160</v>
      </c>
      <c r="D351" s="972"/>
      <c r="E351" s="972"/>
      <c r="F351" s="972"/>
      <c r="G351" s="972"/>
      <c r="H351" s="973"/>
      <c r="I351" s="366" t="s">
        <v>71</v>
      </c>
      <c r="J351" s="226">
        <v>56.4</v>
      </c>
      <c r="K351" s="264">
        <v>18312</v>
      </c>
      <c r="L351" s="228">
        <f t="shared" si="47"/>
        <v>1032796.7999999999</v>
      </c>
      <c r="M351" s="196"/>
      <c r="N351" s="416"/>
      <c r="O351" s="363">
        <f t="shared" si="49"/>
        <v>0</v>
      </c>
      <c r="P351" s="249"/>
      <c r="Q351" s="358"/>
      <c r="R351" s="363">
        <f t="shared" si="50"/>
        <v>0</v>
      </c>
      <c r="S351" s="250"/>
      <c r="T351" s="268">
        <f t="shared" si="48"/>
        <v>0</v>
      </c>
      <c r="U351" s="279">
        <f t="shared" si="51"/>
        <v>0</v>
      </c>
      <c r="V351" s="822"/>
      <c r="W351" s="823"/>
      <c r="X351" s="201"/>
      <c r="AA351" s="150"/>
    </row>
    <row r="352" spans="2:27" s="190" customFormat="1" ht="28.5" customHeight="1">
      <c r="B352" s="367">
        <v>10</v>
      </c>
      <c r="C352" s="938" t="s">
        <v>251</v>
      </c>
      <c r="D352" s="939"/>
      <c r="E352" s="939"/>
      <c r="F352" s="939"/>
      <c r="G352" s="939"/>
      <c r="H352" s="940"/>
      <c r="I352" s="366"/>
      <c r="J352" s="226"/>
      <c r="K352" s="227"/>
      <c r="L352" s="228">
        <f t="shared" si="47"/>
        <v>0</v>
      </c>
      <c r="M352" s="196"/>
      <c r="N352" s="416"/>
      <c r="O352" s="363">
        <f t="shared" si="49"/>
        <v>0</v>
      </c>
      <c r="P352" s="249"/>
      <c r="Q352" s="358"/>
      <c r="R352" s="363">
        <f t="shared" si="50"/>
        <v>0</v>
      </c>
      <c r="S352" s="250"/>
      <c r="T352" s="268">
        <f t="shared" si="48"/>
        <v>0</v>
      </c>
      <c r="U352" s="279">
        <f t="shared" si="51"/>
        <v>0</v>
      </c>
      <c r="V352" s="822"/>
      <c r="W352" s="823"/>
      <c r="X352" s="201"/>
      <c r="AA352" s="150"/>
    </row>
    <row r="353" spans="2:28" s="190" customFormat="1" ht="32.25" customHeight="1">
      <c r="B353" s="359" t="s">
        <v>170</v>
      </c>
      <c r="C353" s="856" t="s">
        <v>252</v>
      </c>
      <c r="D353" s="857"/>
      <c r="E353" s="857"/>
      <c r="F353" s="857"/>
      <c r="G353" s="857"/>
      <c r="H353" s="858"/>
      <c r="I353" s="366" t="s">
        <v>71</v>
      </c>
      <c r="J353" s="175">
        <v>17.5</v>
      </c>
      <c r="K353" s="227">
        <v>2741</v>
      </c>
      <c r="L353" s="228">
        <f t="shared" si="47"/>
        <v>47967.5</v>
      </c>
      <c r="M353" s="196"/>
      <c r="N353" s="416"/>
      <c r="O353" s="363">
        <f t="shared" si="49"/>
        <v>0</v>
      </c>
      <c r="P353" s="249"/>
      <c r="Q353" s="358"/>
      <c r="R353" s="363">
        <f t="shared" si="50"/>
        <v>0</v>
      </c>
      <c r="S353" s="250"/>
      <c r="T353" s="268">
        <f t="shared" si="48"/>
        <v>0</v>
      </c>
      <c r="U353" s="279">
        <f t="shared" si="51"/>
        <v>0</v>
      </c>
      <c r="V353" s="822"/>
      <c r="W353" s="823"/>
      <c r="X353" s="201"/>
      <c r="AA353" s="150"/>
    </row>
    <row r="354" spans="2:28" s="190" customFormat="1" ht="21" customHeight="1">
      <c r="B354" s="367">
        <v>11</v>
      </c>
      <c r="C354" s="938" t="s">
        <v>172</v>
      </c>
      <c r="D354" s="939"/>
      <c r="E354" s="939"/>
      <c r="F354" s="939"/>
      <c r="G354" s="939"/>
      <c r="H354" s="940"/>
      <c r="I354" s="366"/>
      <c r="J354" s="226"/>
      <c r="K354" s="227"/>
      <c r="L354" s="228">
        <f t="shared" si="47"/>
        <v>0</v>
      </c>
      <c r="M354" s="196"/>
      <c r="N354" s="416"/>
      <c r="O354" s="363">
        <f t="shared" si="49"/>
        <v>0</v>
      </c>
      <c r="P354" s="249"/>
      <c r="Q354" s="358"/>
      <c r="R354" s="363">
        <f t="shared" si="50"/>
        <v>0</v>
      </c>
      <c r="S354" s="250"/>
      <c r="T354" s="268">
        <f t="shared" si="48"/>
        <v>0</v>
      </c>
      <c r="U354" s="279">
        <f t="shared" si="51"/>
        <v>0</v>
      </c>
      <c r="V354" s="822"/>
      <c r="W354" s="823"/>
      <c r="X354" s="201"/>
      <c r="AA354" s="150"/>
    </row>
    <row r="355" spans="2:28" s="190" customFormat="1" ht="21" customHeight="1">
      <c r="B355" s="359" t="s">
        <v>173</v>
      </c>
      <c r="C355" s="856" t="s">
        <v>174</v>
      </c>
      <c r="D355" s="857"/>
      <c r="E355" s="857"/>
      <c r="F355" s="857"/>
      <c r="G355" s="857"/>
      <c r="H355" s="858"/>
      <c r="I355" s="366" t="s">
        <v>299</v>
      </c>
      <c r="J355" s="226">
        <v>13224.28</v>
      </c>
      <c r="K355" s="227">
        <v>3812</v>
      </c>
      <c r="L355" s="228">
        <f t="shared" si="47"/>
        <v>50410955.359999999</v>
      </c>
      <c r="M355" s="196"/>
      <c r="N355" s="357"/>
      <c r="O355" s="363">
        <f t="shared" si="49"/>
        <v>0</v>
      </c>
      <c r="P355" s="249"/>
      <c r="Q355" s="358">
        <v>3323.9050906327998</v>
      </c>
      <c r="R355" s="179">
        <f t="shared" si="50"/>
        <v>12670726.205492232</v>
      </c>
      <c r="S355" s="250"/>
      <c r="T355" s="268">
        <f t="shared" si="48"/>
        <v>3323.9050906327998</v>
      </c>
      <c r="U355" s="279">
        <f t="shared" si="51"/>
        <v>12670726.205492232</v>
      </c>
      <c r="V355" s="822"/>
      <c r="W355" s="823"/>
      <c r="X355" s="201"/>
      <c r="AA355" s="428">
        <v>6400.3749093672013</v>
      </c>
      <c r="AB355" s="313"/>
    </row>
    <row r="356" spans="2:28" s="190" customFormat="1" ht="21" customHeight="1">
      <c r="B356" s="367">
        <v>12</v>
      </c>
      <c r="C356" s="938" t="s">
        <v>278</v>
      </c>
      <c r="D356" s="939"/>
      <c r="E356" s="939"/>
      <c r="F356" s="939"/>
      <c r="G356" s="939"/>
      <c r="H356" s="940"/>
      <c r="I356" s="366"/>
      <c r="J356" s="226"/>
      <c r="K356" s="227"/>
      <c r="L356" s="429"/>
      <c r="M356" s="196"/>
      <c r="N356" s="416"/>
      <c r="O356" s="363">
        <f t="shared" ref="O356:O362" si="53">K356*N356</f>
        <v>0</v>
      </c>
      <c r="P356" s="249"/>
      <c r="Q356" s="358"/>
      <c r="R356" s="363">
        <f t="shared" si="50"/>
        <v>0</v>
      </c>
      <c r="S356" s="250"/>
      <c r="T356" s="268">
        <f t="shared" si="48"/>
        <v>0</v>
      </c>
      <c r="U356" s="279">
        <f t="shared" si="51"/>
        <v>0</v>
      </c>
      <c r="V356" s="822"/>
      <c r="W356" s="823"/>
      <c r="X356" s="201"/>
      <c r="AA356" s="150"/>
    </row>
    <row r="357" spans="2:28" s="190" customFormat="1" ht="21" customHeight="1">
      <c r="B357" s="359" t="s">
        <v>279</v>
      </c>
      <c r="C357" s="856" t="s">
        <v>280</v>
      </c>
      <c r="D357" s="857"/>
      <c r="E357" s="857"/>
      <c r="F357" s="857"/>
      <c r="G357" s="857"/>
      <c r="H357" s="858"/>
      <c r="I357" s="366" t="s">
        <v>71</v>
      </c>
      <c r="J357" s="226">
        <v>72</v>
      </c>
      <c r="K357" s="227">
        <v>12377</v>
      </c>
      <c r="L357" s="228">
        <f t="shared" ref="L357:L362" si="54">K357*J357</f>
        <v>891144</v>
      </c>
      <c r="M357" s="196"/>
      <c r="N357" s="416"/>
      <c r="O357" s="363">
        <f t="shared" si="53"/>
        <v>0</v>
      </c>
      <c r="P357" s="249"/>
      <c r="Q357" s="358"/>
      <c r="R357" s="363">
        <f t="shared" si="50"/>
        <v>0</v>
      </c>
      <c r="S357" s="250"/>
      <c r="T357" s="268">
        <f t="shared" si="48"/>
        <v>0</v>
      </c>
      <c r="U357" s="279">
        <f t="shared" si="51"/>
        <v>0</v>
      </c>
      <c r="V357" s="822"/>
      <c r="W357" s="823"/>
      <c r="X357" s="201"/>
      <c r="AA357" s="150"/>
    </row>
    <row r="358" spans="2:28" s="190" customFormat="1" ht="21" customHeight="1">
      <c r="B358" s="359" t="s">
        <v>130</v>
      </c>
      <c r="C358" s="856" t="s">
        <v>131</v>
      </c>
      <c r="D358" s="857"/>
      <c r="E358" s="857"/>
      <c r="F358" s="857"/>
      <c r="G358" s="857"/>
      <c r="H358" s="858"/>
      <c r="I358" s="366" t="s">
        <v>132</v>
      </c>
      <c r="J358" s="226">
        <v>75</v>
      </c>
      <c r="K358" s="227">
        <v>8274</v>
      </c>
      <c r="L358" s="228">
        <f t="shared" si="54"/>
        <v>620550</v>
      </c>
      <c r="M358" s="196"/>
      <c r="N358" s="416"/>
      <c r="O358" s="363">
        <f t="shared" si="53"/>
        <v>0</v>
      </c>
      <c r="P358" s="249"/>
      <c r="Q358" s="358"/>
      <c r="R358" s="363">
        <f t="shared" si="50"/>
        <v>0</v>
      </c>
      <c r="S358" s="250"/>
      <c r="T358" s="268">
        <f t="shared" si="48"/>
        <v>0</v>
      </c>
      <c r="U358" s="279">
        <f t="shared" si="51"/>
        <v>0</v>
      </c>
      <c r="V358" s="822"/>
      <c r="W358" s="823"/>
      <c r="X358" s="201"/>
      <c r="AA358" s="150"/>
    </row>
    <row r="359" spans="2:28" s="190" customFormat="1" ht="18" customHeight="1">
      <c r="B359" s="359" t="s">
        <v>159</v>
      </c>
      <c r="C359" s="856" t="s">
        <v>160</v>
      </c>
      <c r="D359" s="857"/>
      <c r="E359" s="857"/>
      <c r="F359" s="857"/>
      <c r="G359" s="857"/>
      <c r="H359" s="858"/>
      <c r="I359" s="368" t="s">
        <v>132</v>
      </c>
      <c r="J359" s="226">
        <v>20.5</v>
      </c>
      <c r="K359" s="227">
        <v>18312</v>
      </c>
      <c r="L359" s="228">
        <f t="shared" si="54"/>
        <v>375396</v>
      </c>
      <c r="M359" s="196"/>
      <c r="N359" s="416"/>
      <c r="O359" s="363">
        <f t="shared" si="53"/>
        <v>0</v>
      </c>
      <c r="P359" s="249"/>
      <c r="Q359" s="358"/>
      <c r="R359" s="363">
        <f t="shared" ref="R359:R362" si="55">Q359*K359</f>
        <v>0</v>
      </c>
      <c r="S359" s="250"/>
      <c r="T359" s="268">
        <f t="shared" si="48"/>
        <v>0</v>
      </c>
      <c r="U359" s="279">
        <f t="shared" si="51"/>
        <v>0</v>
      </c>
      <c r="V359" s="822"/>
      <c r="W359" s="823"/>
      <c r="X359" s="201"/>
      <c r="AA359" s="150"/>
    </row>
    <row r="360" spans="2:28" s="190" customFormat="1" ht="18" customHeight="1">
      <c r="B360" s="359" t="s">
        <v>121</v>
      </c>
      <c r="C360" s="956" t="s">
        <v>122</v>
      </c>
      <c r="D360" s="957"/>
      <c r="E360" s="957"/>
      <c r="F360" s="957"/>
      <c r="G360" s="957"/>
      <c r="H360" s="958"/>
      <c r="I360" s="359" t="s">
        <v>71</v>
      </c>
      <c r="J360" s="226">
        <v>437.1</v>
      </c>
      <c r="K360" s="227">
        <v>15973</v>
      </c>
      <c r="L360" s="228">
        <f t="shared" si="54"/>
        <v>6981798.3000000007</v>
      </c>
      <c r="M360" s="196"/>
      <c r="N360" s="416"/>
      <c r="O360" s="363">
        <f t="shared" si="53"/>
        <v>0</v>
      </c>
      <c r="P360" s="249"/>
      <c r="Q360" s="358"/>
      <c r="R360" s="363">
        <f t="shared" si="55"/>
        <v>0</v>
      </c>
      <c r="S360" s="250"/>
      <c r="T360" s="268">
        <f t="shared" si="48"/>
        <v>0</v>
      </c>
      <c r="U360" s="279">
        <f t="shared" si="51"/>
        <v>0</v>
      </c>
      <c r="V360" s="822"/>
      <c r="W360" s="823"/>
      <c r="X360" s="201"/>
      <c r="AA360" s="150"/>
    </row>
    <row r="361" spans="2:28" s="190" customFormat="1" ht="18" customHeight="1">
      <c r="B361" s="365" t="s">
        <v>285</v>
      </c>
      <c r="C361" s="959" t="s">
        <v>286</v>
      </c>
      <c r="D361" s="960"/>
      <c r="E361" s="960"/>
      <c r="F361" s="960"/>
      <c r="G361" s="960"/>
      <c r="H361" s="961"/>
      <c r="I361" s="365" t="s">
        <v>71</v>
      </c>
      <c r="J361" s="226">
        <v>20.5</v>
      </c>
      <c r="K361" s="227">
        <v>27048</v>
      </c>
      <c r="L361" s="228">
        <f t="shared" si="54"/>
        <v>554484</v>
      </c>
      <c r="M361" s="196"/>
      <c r="N361" s="416"/>
      <c r="O361" s="363">
        <f t="shared" si="53"/>
        <v>0</v>
      </c>
      <c r="P361" s="249"/>
      <c r="Q361" s="358"/>
      <c r="R361" s="363">
        <f t="shared" si="55"/>
        <v>0</v>
      </c>
      <c r="S361" s="250"/>
      <c r="T361" s="268">
        <f t="shared" si="48"/>
        <v>0</v>
      </c>
      <c r="U361" s="279">
        <f t="shared" si="51"/>
        <v>0</v>
      </c>
      <c r="V361" s="822"/>
      <c r="W361" s="823"/>
      <c r="X361" s="201"/>
      <c r="AA361" s="150"/>
    </row>
    <row r="362" spans="2:28" s="190" customFormat="1" ht="31.5" customHeight="1">
      <c r="B362" s="365" t="s">
        <v>287</v>
      </c>
      <c r="C362" s="856" t="s">
        <v>288</v>
      </c>
      <c r="D362" s="857"/>
      <c r="E362" s="857"/>
      <c r="F362" s="857"/>
      <c r="G362" s="857"/>
      <c r="H362" s="858"/>
      <c r="I362" s="365" t="s">
        <v>71</v>
      </c>
      <c r="J362" s="226">
        <v>16</v>
      </c>
      <c r="K362" s="227">
        <v>73318</v>
      </c>
      <c r="L362" s="228">
        <f t="shared" si="54"/>
        <v>1173088</v>
      </c>
      <c r="M362" s="196"/>
      <c r="N362" s="416"/>
      <c r="O362" s="363">
        <f t="shared" si="53"/>
        <v>0</v>
      </c>
      <c r="P362" s="249"/>
      <c r="Q362" s="358"/>
      <c r="R362" s="363">
        <f t="shared" si="55"/>
        <v>0</v>
      </c>
      <c r="S362" s="250"/>
      <c r="T362" s="268">
        <f t="shared" si="48"/>
        <v>0</v>
      </c>
      <c r="U362" s="279">
        <f t="shared" si="51"/>
        <v>0</v>
      </c>
      <c r="V362" s="822"/>
      <c r="W362" s="823"/>
      <c r="X362" s="201"/>
      <c r="AA362" s="150"/>
    </row>
    <row r="363" spans="2:28" s="150" customFormat="1" ht="29.25" customHeight="1">
      <c r="B363" s="280"/>
      <c r="C363" s="418" t="s">
        <v>300</v>
      </c>
      <c r="D363" s="418"/>
      <c r="E363" s="418"/>
      <c r="F363" s="418"/>
      <c r="G363" s="418"/>
      <c r="H363" s="419"/>
      <c r="I363" s="281"/>
      <c r="J363" s="282"/>
      <c r="K363" s="283"/>
      <c r="L363" s="379">
        <f>SUM(L291:L362)</f>
        <v>238862332.31</v>
      </c>
      <c r="M363" s="196"/>
      <c r="N363" s="430"/>
      <c r="O363" s="379">
        <f>SUM(O291:O362)</f>
        <v>48921313.876029998</v>
      </c>
      <c r="P363" s="196"/>
      <c r="Q363" s="431"/>
      <c r="R363" s="379">
        <f>SUM(R291:R362)</f>
        <v>21915192.435492232</v>
      </c>
      <c r="S363" s="196"/>
      <c r="T363" s="281">
        <f>+N363+Q363</f>
        <v>0</v>
      </c>
      <c r="U363" s="379">
        <f>SUM(U291:U362)</f>
        <v>70836506.311522231</v>
      </c>
      <c r="V363" s="822"/>
      <c r="W363" s="823"/>
      <c r="X363" s="384"/>
    </row>
    <row r="364" spans="2:28" s="190" customFormat="1" ht="23.25" customHeight="1">
      <c r="B364" s="293"/>
      <c r="C364" s="294" t="s">
        <v>290</v>
      </c>
      <c r="D364" s="294"/>
      <c r="E364" s="294"/>
      <c r="F364" s="294"/>
      <c r="G364" s="294"/>
      <c r="H364" s="294"/>
      <c r="I364" s="294"/>
      <c r="J364" s="294"/>
      <c r="K364" s="295"/>
      <c r="L364" s="296"/>
      <c r="M364" s="171"/>
      <c r="N364" s="207"/>
      <c r="O364" s="208"/>
      <c r="P364" s="171"/>
      <c r="Q364" s="209"/>
      <c r="R364" s="208"/>
      <c r="S364" s="171"/>
      <c r="T364" s="171"/>
      <c r="U364" s="211"/>
      <c r="V364" s="212"/>
      <c r="W364" s="212"/>
      <c r="X364" s="149"/>
    </row>
    <row r="365" spans="2:28" s="190" customFormat="1" ht="27.75" customHeight="1">
      <c r="B365" s="974" t="s">
        <v>301</v>
      </c>
      <c r="C365" s="975"/>
      <c r="D365" s="975"/>
      <c r="E365" s="975"/>
      <c r="F365" s="432"/>
      <c r="G365" s="432"/>
      <c r="H365" s="432"/>
      <c r="I365" s="433"/>
      <c r="J365" s="434"/>
      <c r="K365" s="435"/>
      <c r="L365" s="436">
        <f>L113+L191+L277+L363</f>
        <v>842169216.83999991</v>
      </c>
      <c r="M365" s="196"/>
      <c r="N365" s="437"/>
      <c r="O365" s="436">
        <f>O363+O277+O191+O113</f>
        <v>242945348.51602998</v>
      </c>
      <c r="P365" s="196"/>
      <c r="Q365" s="438"/>
      <c r="R365" s="436">
        <f>R363+R277+R191+R113</f>
        <v>148821027.55876496</v>
      </c>
      <c r="S365" s="196"/>
      <c r="T365" s="437"/>
      <c r="U365" s="439">
        <f>O365+R365</f>
        <v>391766376.07479495</v>
      </c>
      <c r="V365" s="976"/>
      <c r="W365" s="977"/>
      <c r="X365" s="201"/>
      <c r="Y365" s="190" t="e">
        <f>+R365+#REF!</f>
        <v>#REF!</v>
      </c>
      <c r="Z365" s="190" t="e">
        <f>+U365-Y365</f>
        <v>#REF!</v>
      </c>
    </row>
    <row r="366" spans="2:28" s="190" customFormat="1" ht="24" customHeight="1">
      <c r="B366" s="974" t="s">
        <v>302</v>
      </c>
      <c r="C366" s="975"/>
      <c r="D366" s="975"/>
      <c r="E366" s="975"/>
      <c r="F366" s="432"/>
      <c r="G366" s="432"/>
      <c r="H366" s="432"/>
      <c r="I366" s="433"/>
      <c r="J366" s="434"/>
      <c r="K366" s="435"/>
      <c r="L366" s="440">
        <f>L287+L122+L60+L200</f>
        <v>18639362</v>
      </c>
      <c r="M366" s="196"/>
      <c r="N366" s="437"/>
      <c r="O366" s="436">
        <f>O287+O200+O122+O60</f>
        <v>4504087.6029411769</v>
      </c>
      <c r="P366" s="196"/>
      <c r="Q366" s="438"/>
      <c r="R366" s="436">
        <f>R287+R200+R122+R60</f>
        <v>13078048.420168068</v>
      </c>
      <c r="S366" s="196"/>
      <c r="T366" s="437"/>
      <c r="U366" s="441">
        <f>O366+R366</f>
        <v>17582136.023109246</v>
      </c>
      <c r="V366" s="976"/>
      <c r="W366" s="977"/>
      <c r="X366" s="201"/>
    </row>
    <row r="367" spans="2:28" s="190" customFormat="1" ht="27" customHeight="1">
      <c r="B367" s="974" t="s">
        <v>303</v>
      </c>
      <c r="C367" s="975"/>
      <c r="D367" s="975"/>
      <c r="E367" s="975"/>
      <c r="F367" s="432"/>
      <c r="G367" s="432"/>
      <c r="H367" s="432"/>
      <c r="I367" s="433"/>
      <c r="J367" s="434"/>
      <c r="K367" s="435"/>
      <c r="L367" s="440">
        <f>+L365+L366</f>
        <v>860808578.83999991</v>
      </c>
      <c r="M367" s="442"/>
      <c r="N367" s="261"/>
      <c r="O367" s="443">
        <f>+O365+O366</f>
        <v>247449436.11897117</v>
      </c>
      <c r="P367" s="442"/>
      <c r="Q367" s="444"/>
      <c r="R367" s="443">
        <f>+R365+R366</f>
        <v>161899075.97893304</v>
      </c>
      <c r="S367" s="442"/>
      <c r="T367" s="445"/>
      <c r="U367" s="446">
        <f>O367+R367</f>
        <v>409348512.09790421</v>
      </c>
      <c r="V367" s="976"/>
      <c r="W367" s="977"/>
      <c r="X367" s="201"/>
      <c r="Y367" s="190">
        <f>+R367+O365</f>
        <v>404844424.49496305</v>
      </c>
      <c r="Z367" s="190">
        <f>+U367-Y367</f>
        <v>4504087.6029411554</v>
      </c>
    </row>
    <row r="368" spans="2:28" s="190" customFormat="1" ht="19.5" customHeight="1">
      <c r="B368" s="447"/>
      <c r="C368" s="448"/>
      <c r="D368" s="448"/>
      <c r="E368" s="448"/>
      <c r="F368" s="448"/>
      <c r="G368" s="448"/>
      <c r="H368" s="448"/>
      <c r="I368" s="449"/>
      <c r="J368" s="450"/>
      <c r="K368" s="451"/>
      <c r="L368" s="296"/>
      <c r="M368" s="442"/>
      <c r="N368" s="452"/>
      <c r="O368" s="328"/>
      <c r="P368" s="442"/>
      <c r="Q368" s="453"/>
      <c r="R368" s="296"/>
      <c r="S368" s="442"/>
      <c r="T368" s="442"/>
      <c r="U368" s="328"/>
      <c r="V368" s="454"/>
      <c r="W368" s="454"/>
      <c r="X368" s="201"/>
      <c r="Y368" s="190">
        <f>+R368+O368</f>
        <v>0</v>
      </c>
      <c r="Z368" s="190">
        <f>+U368-Y368</f>
        <v>0</v>
      </c>
    </row>
    <row r="369" spans="2:26" s="150" customFormat="1" ht="15" customHeight="1">
      <c r="B369" s="983" t="s">
        <v>304</v>
      </c>
      <c r="C369" s="984"/>
      <c r="D369" s="984"/>
      <c r="E369" s="984"/>
      <c r="F369" s="984"/>
      <c r="G369" s="984"/>
      <c r="H369" s="984"/>
      <c r="I369" s="984"/>
      <c r="J369" s="984"/>
      <c r="K369" s="984"/>
      <c r="L369" s="985"/>
      <c r="M369" s="455"/>
      <c r="N369" s="983" t="s">
        <v>305</v>
      </c>
      <c r="O369" s="984"/>
      <c r="P369" s="984"/>
      <c r="Q369" s="984"/>
      <c r="R369" s="984"/>
      <c r="S369" s="984"/>
      <c r="T369" s="984"/>
      <c r="U369" s="984"/>
      <c r="V369" s="984"/>
      <c r="W369" s="985"/>
      <c r="X369" s="149"/>
      <c r="Y369" s="190">
        <f>+R369+O369</f>
        <v>0</v>
      </c>
      <c r="Z369" s="190">
        <f>+U369-Y369</f>
        <v>0</v>
      </c>
    </row>
    <row r="370" spans="2:26" s="150" customFormat="1" ht="15" customHeight="1">
      <c r="B370" s="456"/>
      <c r="C370" s="457"/>
      <c r="D370" s="457"/>
      <c r="E370" s="457"/>
      <c r="F370" s="457"/>
      <c r="G370" s="457"/>
      <c r="H370" s="457"/>
      <c r="I370" s="458"/>
      <c r="J370" s="459"/>
      <c r="K370" s="460"/>
      <c r="L370" s="457"/>
      <c r="M370" s="455"/>
      <c r="O370" s="461"/>
      <c r="P370" s="455"/>
      <c r="Q370" s="462"/>
      <c r="R370" s="455"/>
      <c r="S370" s="455"/>
      <c r="T370" s="455"/>
      <c r="U370" s="461"/>
      <c r="V370" s="463"/>
      <c r="W370" s="463"/>
      <c r="X370" s="149"/>
      <c r="Y370" s="190"/>
      <c r="Z370" s="190"/>
    </row>
    <row r="371" spans="2:26" s="150" customFormat="1" ht="15" customHeight="1">
      <c r="B371" s="464" t="s">
        <v>306</v>
      </c>
      <c r="C371" s="465" t="s">
        <v>307</v>
      </c>
      <c r="D371" s="466"/>
      <c r="E371" s="466"/>
      <c r="F371" s="466"/>
      <c r="G371" s="466"/>
      <c r="H371" s="467"/>
      <c r="I371" s="468" t="s">
        <v>308</v>
      </c>
      <c r="J371" s="469" t="s">
        <v>80</v>
      </c>
      <c r="K371" s="470" t="s">
        <v>309</v>
      </c>
      <c r="L371" s="471" t="s">
        <v>67</v>
      </c>
      <c r="M371" s="455"/>
      <c r="N371" s="472" t="s">
        <v>62</v>
      </c>
      <c r="O371" s="473"/>
      <c r="P371" s="160"/>
      <c r="Q371" s="474" t="s">
        <v>63</v>
      </c>
      <c r="R371" s="475"/>
      <c r="S371" s="148"/>
      <c r="T371" s="475" t="s">
        <v>64</v>
      </c>
      <c r="U371" s="476"/>
      <c r="V371" s="477"/>
      <c r="W371" s="478"/>
      <c r="X371" s="149"/>
      <c r="Y371" s="190"/>
      <c r="Z371" s="190"/>
    </row>
    <row r="372" spans="2:26" s="150" customFormat="1" ht="15" customHeight="1">
      <c r="B372" s="479"/>
      <c r="C372" s="978"/>
      <c r="D372" s="979"/>
      <c r="E372" s="979"/>
      <c r="F372" s="979"/>
      <c r="G372" s="979"/>
      <c r="H372" s="980"/>
      <c r="I372" s="468"/>
      <c r="J372" s="469"/>
      <c r="K372" s="470"/>
      <c r="L372" s="480"/>
      <c r="M372" s="455"/>
      <c r="N372" s="481"/>
      <c r="O372" s="482"/>
      <c r="P372" s="160"/>
      <c r="Q372" s="483"/>
      <c r="R372" s="484">
        <f>+ROUND((ROUNDDOWN(Q372,2))*K372,2)</f>
        <v>0</v>
      </c>
      <c r="S372" s="485"/>
      <c r="T372" s="182">
        <f t="shared" ref="T372:T381" si="56">+N372+Q372</f>
        <v>0</v>
      </c>
      <c r="U372" s="482">
        <f t="shared" ref="U372:U381" si="57">+ROUND((ROUNDDOWN(T372,2))*K372,2)</f>
        <v>0</v>
      </c>
      <c r="V372" s="981"/>
      <c r="W372" s="982"/>
      <c r="X372" s="149"/>
      <c r="Y372" s="190"/>
      <c r="Z372" s="190"/>
    </row>
    <row r="373" spans="2:26" s="150" customFormat="1" ht="15" customHeight="1">
      <c r="B373" s="486"/>
      <c r="C373" s="978"/>
      <c r="D373" s="979"/>
      <c r="E373" s="979"/>
      <c r="F373" s="979"/>
      <c r="G373" s="979"/>
      <c r="H373" s="980"/>
      <c r="I373" s="468"/>
      <c r="J373" s="469"/>
      <c r="K373" s="470"/>
      <c r="L373" s="480"/>
      <c r="M373" s="455"/>
      <c r="N373" s="481"/>
      <c r="O373" s="482">
        <f t="shared" ref="O373:O381" si="58">+ROUND((ROUNDDOWN(N373,2))*K373,2)</f>
        <v>0</v>
      </c>
      <c r="P373" s="160"/>
      <c r="Q373" s="483"/>
      <c r="R373" s="484"/>
      <c r="S373" s="485"/>
      <c r="T373" s="182">
        <f t="shared" si="56"/>
        <v>0</v>
      </c>
      <c r="U373" s="482">
        <f t="shared" si="57"/>
        <v>0</v>
      </c>
      <c r="V373" s="981"/>
      <c r="W373" s="982"/>
      <c r="X373" s="149"/>
      <c r="Y373" s="190"/>
      <c r="Z373" s="190"/>
    </row>
    <row r="374" spans="2:26" s="150" customFormat="1" ht="15" customHeight="1">
      <c r="B374" s="479"/>
      <c r="C374" s="978"/>
      <c r="D374" s="979"/>
      <c r="E374" s="979"/>
      <c r="F374" s="979"/>
      <c r="G374" s="979"/>
      <c r="H374" s="980"/>
      <c r="I374" s="468"/>
      <c r="J374" s="469"/>
      <c r="K374" s="470"/>
      <c r="L374" s="480"/>
      <c r="M374" s="487"/>
      <c r="N374" s="481"/>
      <c r="O374" s="482">
        <f t="shared" si="58"/>
        <v>0</v>
      </c>
      <c r="P374" s="160"/>
      <c r="Q374" s="483"/>
      <c r="R374" s="484"/>
      <c r="S374" s="485"/>
      <c r="T374" s="182">
        <f t="shared" si="56"/>
        <v>0</v>
      </c>
      <c r="U374" s="482">
        <f t="shared" si="57"/>
        <v>0</v>
      </c>
      <c r="V374" s="981"/>
      <c r="W374" s="982"/>
      <c r="X374" s="149"/>
      <c r="Y374" s="190"/>
      <c r="Z374" s="190"/>
    </row>
    <row r="375" spans="2:26" s="150" customFormat="1" ht="15" customHeight="1">
      <c r="B375" s="479"/>
      <c r="C375" s="978"/>
      <c r="D375" s="979"/>
      <c r="E375" s="979"/>
      <c r="F375" s="979"/>
      <c r="G375" s="979"/>
      <c r="H375" s="980"/>
      <c r="I375" s="468"/>
      <c r="J375" s="469"/>
      <c r="K375" s="470"/>
      <c r="L375" s="480"/>
      <c r="M375" s="487"/>
      <c r="N375" s="182"/>
      <c r="O375" s="482">
        <f t="shared" si="58"/>
        <v>0</v>
      </c>
      <c r="P375" s="160"/>
      <c r="Q375" s="483"/>
      <c r="R375" s="484"/>
      <c r="S375" s="485"/>
      <c r="T375" s="182">
        <f t="shared" si="56"/>
        <v>0</v>
      </c>
      <c r="U375" s="482">
        <f t="shared" si="57"/>
        <v>0</v>
      </c>
      <c r="V375" s="981"/>
      <c r="W375" s="982"/>
      <c r="X375" s="149"/>
      <c r="Y375" s="190"/>
      <c r="Z375" s="190"/>
    </row>
    <row r="376" spans="2:26" s="150" customFormat="1" ht="15" customHeight="1">
      <c r="B376" s="479"/>
      <c r="C376" s="978"/>
      <c r="D376" s="979"/>
      <c r="E376" s="979"/>
      <c r="F376" s="979"/>
      <c r="G376" s="979"/>
      <c r="H376" s="980"/>
      <c r="I376" s="468"/>
      <c r="J376" s="469"/>
      <c r="K376" s="470"/>
      <c r="L376" s="480"/>
      <c r="M376" s="487"/>
      <c r="N376" s="481"/>
      <c r="O376" s="482">
        <f t="shared" si="58"/>
        <v>0</v>
      </c>
      <c r="P376" s="160"/>
      <c r="Q376" s="483"/>
      <c r="R376" s="484"/>
      <c r="S376" s="485"/>
      <c r="T376" s="182">
        <f t="shared" si="56"/>
        <v>0</v>
      </c>
      <c r="U376" s="482">
        <f t="shared" si="57"/>
        <v>0</v>
      </c>
      <c r="V376" s="981"/>
      <c r="W376" s="982"/>
      <c r="X376" s="149"/>
      <c r="Y376" s="190"/>
      <c r="Z376" s="190"/>
    </row>
    <row r="377" spans="2:26" s="150" customFormat="1" ht="15" customHeight="1">
      <c r="B377" s="479"/>
      <c r="C377" s="978"/>
      <c r="D377" s="979"/>
      <c r="E377" s="979"/>
      <c r="F377" s="979"/>
      <c r="G377" s="979"/>
      <c r="H377" s="980"/>
      <c r="I377" s="468"/>
      <c r="J377" s="469"/>
      <c r="K377" s="488"/>
      <c r="L377" s="480"/>
      <c r="M377" s="487"/>
      <c r="N377" s="437"/>
      <c r="O377" s="482">
        <f t="shared" si="58"/>
        <v>0</v>
      </c>
      <c r="P377" s="160"/>
      <c r="Q377" s="180"/>
      <c r="R377" s="484"/>
      <c r="S377" s="485"/>
      <c r="T377" s="182">
        <f t="shared" si="56"/>
        <v>0</v>
      </c>
      <c r="U377" s="482">
        <f t="shared" si="57"/>
        <v>0</v>
      </c>
      <c r="V377" s="981"/>
      <c r="W377" s="982"/>
      <c r="X377" s="149"/>
      <c r="Y377" s="190"/>
      <c r="Z377" s="190"/>
    </row>
    <row r="378" spans="2:26" s="150" customFormat="1" ht="15" customHeight="1">
      <c r="B378" s="479"/>
      <c r="C378" s="978"/>
      <c r="D378" s="979"/>
      <c r="E378" s="979"/>
      <c r="F378" s="979"/>
      <c r="G378" s="979"/>
      <c r="H378" s="980"/>
      <c r="I378" s="468"/>
      <c r="J378" s="469"/>
      <c r="K378" s="488"/>
      <c r="L378" s="480"/>
      <c r="M378" s="487"/>
      <c r="N378" s="182"/>
      <c r="O378" s="482">
        <f t="shared" si="58"/>
        <v>0</v>
      </c>
      <c r="P378" s="160"/>
      <c r="Q378" s="180"/>
      <c r="R378" s="484"/>
      <c r="S378" s="485"/>
      <c r="T378" s="182">
        <f t="shared" si="56"/>
        <v>0</v>
      </c>
      <c r="U378" s="482">
        <f t="shared" si="57"/>
        <v>0</v>
      </c>
      <c r="V378" s="981"/>
      <c r="W378" s="982"/>
      <c r="X378" s="149"/>
      <c r="Y378" s="190"/>
      <c r="Z378" s="190"/>
    </row>
    <row r="379" spans="2:26" s="150" customFormat="1" ht="15" customHeight="1">
      <c r="B379" s="479"/>
      <c r="C379" s="978"/>
      <c r="D379" s="979"/>
      <c r="E379" s="979"/>
      <c r="F379" s="979"/>
      <c r="G379" s="979"/>
      <c r="H379" s="980"/>
      <c r="I379" s="468"/>
      <c r="J379" s="469"/>
      <c r="K379" s="488"/>
      <c r="L379" s="480"/>
      <c r="M379" s="487"/>
      <c r="N379" s="437"/>
      <c r="O379" s="482">
        <f t="shared" si="58"/>
        <v>0</v>
      </c>
      <c r="P379" s="160"/>
      <c r="Q379" s="180"/>
      <c r="R379" s="484"/>
      <c r="S379" s="485"/>
      <c r="T379" s="182">
        <f t="shared" si="56"/>
        <v>0</v>
      </c>
      <c r="U379" s="482">
        <f t="shared" si="57"/>
        <v>0</v>
      </c>
      <c r="V379" s="981"/>
      <c r="W379" s="982"/>
      <c r="X379" s="149"/>
      <c r="Y379" s="190"/>
      <c r="Z379" s="190"/>
    </row>
    <row r="380" spans="2:26" s="150" customFormat="1" ht="15" customHeight="1">
      <c r="B380" s="479"/>
      <c r="C380" s="978"/>
      <c r="D380" s="979"/>
      <c r="E380" s="979"/>
      <c r="F380" s="979"/>
      <c r="G380" s="979"/>
      <c r="H380" s="980"/>
      <c r="I380" s="468"/>
      <c r="J380" s="469"/>
      <c r="K380" s="488"/>
      <c r="L380" s="480"/>
      <c r="M380" s="487"/>
      <c r="N380" s="481"/>
      <c r="O380" s="482">
        <f t="shared" si="58"/>
        <v>0</v>
      </c>
      <c r="P380" s="160"/>
      <c r="Q380" s="483"/>
      <c r="R380" s="484"/>
      <c r="S380" s="485"/>
      <c r="T380" s="182">
        <f t="shared" si="56"/>
        <v>0</v>
      </c>
      <c r="U380" s="482">
        <f t="shared" si="57"/>
        <v>0</v>
      </c>
      <c r="V380" s="981"/>
      <c r="W380" s="982"/>
      <c r="X380" s="149"/>
      <c r="Y380" s="190"/>
      <c r="Z380" s="190"/>
    </row>
    <row r="381" spans="2:26" s="150" customFormat="1" ht="15" customHeight="1">
      <c r="B381" s="489"/>
      <c r="C381" s="978"/>
      <c r="D381" s="979"/>
      <c r="E381" s="979"/>
      <c r="F381" s="979"/>
      <c r="G381" s="979"/>
      <c r="H381" s="980"/>
      <c r="I381" s="237"/>
      <c r="J381" s="490"/>
      <c r="K381" s="491"/>
      <c r="L381" s="480"/>
      <c r="M381" s="487"/>
      <c r="N381" s="481"/>
      <c r="O381" s="482">
        <f t="shared" si="58"/>
        <v>0</v>
      </c>
      <c r="P381" s="160"/>
      <c r="Q381" s="483"/>
      <c r="R381" s="484"/>
      <c r="S381" s="485"/>
      <c r="T381" s="182">
        <f t="shared" si="56"/>
        <v>0</v>
      </c>
      <c r="U381" s="482">
        <f t="shared" si="57"/>
        <v>0</v>
      </c>
      <c r="V381" s="981"/>
      <c r="W381" s="982"/>
      <c r="X381" s="149"/>
      <c r="Y381" s="190"/>
      <c r="Z381" s="190"/>
    </row>
    <row r="382" spans="2:26" s="150" customFormat="1" ht="15" customHeight="1">
      <c r="B382" s="492"/>
      <c r="C382" s="493"/>
      <c r="D382" s="493"/>
      <c r="E382" s="493"/>
      <c r="F382" s="493"/>
      <c r="G382" s="493"/>
      <c r="H382" s="493"/>
      <c r="I382" s="449"/>
      <c r="J382" s="450"/>
      <c r="K382" s="451"/>
      <c r="L382" s="448"/>
      <c r="M382" s="442"/>
      <c r="N382" s="452"/>
      <c r="O382" s="328"/>
      <c r="P382" s="160"/>
      <c r="Q382" s="453"/>
      <c r="R382" s="494">
        <f>+ROUND((ROUNDDOWN(Q382,2))*K382,2)</f>
        <v>0</v>
      </c>
      <c r="S382" s="442"/>
      <c r="T382" s="442"/>
      <c r="U382" s="328"/>
      <c r="V382" s="454"/>
      <c r="W382" s="454"/>
      <c r="X382" s="149"/>
      <c r="Y382" s="190"/>
      <c r="Z382" s="190"/>
    </row>
    <row r="383" spans="2:26" s="150" customFormat="1" ht="15" customHeight="1">
      <c r="B383" s="495"/>
      <c r="C383" s="496"/>
      <c r="D383" s="496"/>
      <c r="E383" s="496"/>
      <c r="F383" s="496"/>
      <c r="G383" s="496"/>
      <c r="H383" s="496"/>
      <c r="I383" s="433"/>
      <c r="J383" s="434"/>
      <c r="K383" s="497"/>
      <c r="L383" s="498"/>
      <c r="M383" s="442"/>
      <c r="N383" s="499"/>
      <c r="O383" s="500">
        <f>SUM(O372:O381)</f>
        <v>0</v>
      </c>
      <c r="P383" s="442"/>
      <c r="Q383" s="501"/>
      <c r="R383" s="498">
        <f>SUM(R373:R381)</f>
        <v>0</v>
      </c>
      <c r="S383" s="442"/>
      <c r="T383" s="502"/>
      <c r="U383" s="500">
        <f>SUM(U372:U381)</f>
        <v>0</v>
      </c>
      <c r="V383" s="989"/>
      <c r="W383" s="990"/>
      <c r="X383" s="149"/>
      <c r="Y383" s="190"/>
      <c r="Z383" s="190"/>
    </row>
    <row r="384" spans="2:26" s="150" customFormat="1" ht="15" customHeight="1">
      <c r="B384" s="447"/>
      <c r="C384" s="448"/>
      <c r="D384" s="448"/>
      <c r="E384" s="448"/>
      <c r="F384" s="448"/>
      <c r="G384" s="448"/>
      <c r="H384" s="448"/>
      <c r="I384" s="449"/>
      <c r="J384" s="450"/>
      <c r="K384" s="451"/>
      <c r="L384" s="296"/>
      <c r="M384" s="442"/>
      <c r="N384" s="452"/>
      <c r="O384" s="328"/>
      <c r="P384" s="442"/>
      <c r="Q384" s="453"/>
      <c r="R384" s="296"/>
      <c r="S384" s="442"/>
      <c r="T384" s="296"/>
      <c r="U384" s="328"/>
      <c r="V384" s="454"/>
      <c r="W384" s="454"/>
      <c r="X384" s="149"/>
      <c r="Y384" s="190"/>
      <c r="Z384" s="190"/>
    </row>
    <row r="385" spans="2:26" s="150" customFormat="1" ht="15" customHeight="1">
      <c r="B385" s="503"/>
      <c r="C385" s="504"/>
      <c r="D385" s="504"/>
      <c r="E385" s="504"/>
      <c r="F385" s="504"/>
      <c r="G385" s="504"/>
      <c r="H385" s="504"/>
      <c r="I385" s="505"/>
      <c r="J385" s="506"/>
      <c r="K385" s="507"/>
      <c r="L385" s="508"/>
      <c r="M385" s="509"/>
      <c r="N385" s="508"/>
      <c r="O385" s="510"/>
      <c r="P385" s="509"/>
      <c r="Q385" s="511"/>
      <c r="R385" s="508"/>
      <c r="S385" s="509"/>
      <c r="T385" s="509"/>
      <c r="U385" s="510"/>
      <c r="V385" s="512"/>
      <c r="W385" s="513"/>
      <c r="X385" s="149"/>
      <c r="Y385" s="190"/>
      <c r="Z385" s="190"/>
    </row>
    <row r="386" spans="2:26" s="150" customFormat="1" ht="15" customHeight="1">
      <c r="B386" s="456"/>
      <c r="C386" s="457"/>
      <c r="D386" s="457"/>
      <c r="E386" s="457"/>
      <c r="F386" s="457"/>
      <c r="G386" s="457"/>
      <c r="H386" s="457"/>
      <c r="I386" s="458"/>
      <c r="J386" s="459"/>
      <c r="K386" s="460"/>
      <c r="L386" s="457"/>
      <c r="M386" s="455"/>
      <c r="N386" s="452"/>
      <c r="O386" s="461"/>
      <c r="P386" s="455"/>
      <c r="Q386" s="462"/>
      <c r="R386" s="455"/>
      <c r="S386" s="455"/>
      <c r="T386" s="455"/>
      <c r="U386" s="461"/>
      <c r="V386" s="463"/>
      <c r="W386" s="463"/>
      <c r="X386" s="149"/>
      <c r="Y386" s="190"/>
      <c r="Z386" s="190"/>
    </row>
    <row r="387" spans="2:26" s="150" customFormat="1" ht="15" customHeight="1">
      <c r="B387" s="456"/>
      <c r="C387" s="457"/>
      <c r="D387" s="457"/>
      <c r="E387" s="457"/>
      <c r="F387" s="457"/>
      <c r="G387" s="457"/>
      <c r="H387" s="457"/>
      <c r="I387" s="458"/>
      <c r="J387" s="459"/>
      <c r="K387" s="460"/>
      <c r="L387" s="457"/>
      <c r="M387" s="455"/>
      <c r="N387" s="452"/>
      <c r="O387" s="461"/>
      <c r="P387" s="455"/>
      <c r="Q387" s="462"/>
      <c r="R387" s="455"/>
      <c r="S387" s="455"/>
      <c r="T387" s="455"/>
      <c r="U387" s="461"/>
      <c r="V387" s="463"/>
      <c r="W387" s="463"/>
      <c r="X387" s="149"/>
      <c r="Y387" s="190"/>
      <c r="Z387" s="190"/>
    </row>
    <row r="388" spans="2:26" s="150" customFormat="1" ht="18.95" customHeight="1">
      <c r="B388" s="983" t="s">
        <v>310</v>
      </c>
      <c r="C388" s="984"/>
      <c r="D388" s="984"/>
      <c r="E388" s="984"/>
      <c r="F388" s="984"/>
      <c r="G388" s="984"/>
      <c r="H388" s="984"/>
      <c r="I388" s="984"/>
      <c r="J388" s="984"/>
      <c r="K388" s="984"/>
      <c r="L388" s="985"/>
      <c r="M388" s="455"/>
      <c r="N388" s="983" t="s">
        <v>311</v>
      </c>
      <c r="O388" s="984"/>
      <c r="P388" s="984"/>
      <c r="Q388" s="984"/>
      <c r="R388" s="984"/>
      <c r="S388" s="984"/>
      <c r="T388" s="984"/>
      <c r="U388" s="984"/>
      <c r="V388" s="984"/>
      <c r="W388" s="985"/>
      <c r="X388" s="149"/>
      <c r="Y388" s="190">
        <f>+R388+O388</f>
        <v>0</v>
      </c>
      <c r="Z388" s="190">
        <f>+U388-Y388</f>
        <v>0</v>
      </c>
    </row>
    <row r="389" spans="2:26" s="150" customFormat="1" ht="15" customHeight="1">
      <c r="B389" s="456"/>
      <c r="C389" s="457"/>
      <c r="D389" s="457"/>
      <c r="E389" s="457"/>
      <c r="F389" s="457"/>
      <c r="G389" s="457"/>
      <c r="H389" s="457"/>
      <c r="I389" s="458"/>
      <c r="J389" s="459"/>
      <c r="K389" s="460"/>
      <c r="L389" s="457"/>
      <c r="M389" s="455"/>
      <c r="O389" s="461"/>
      <c r="P389" s="455"/>
      <c r="Q389" s="462"/>
      <c r="R389" s="455"/>
      <c r="S389" s="455"/>
      <c r="T389" s="455"/>
      <c r="U389" s="461"/>
      <c r="V389" s="463"/>
      <c r="W389" s="463"/>
      <c r="X389" s="149"/>
      <c r="Y389" s="190">
        <f>+R389+O389</f>
        <v>0</v>
      </c>
      <c r="Z389" s="190">
        <f>+U389-Y389</f>
        <v>0</v>
      </c>
    </row>
    <row r="390" spans="2:26" s="150" customFormat="1" ht="15" customHeight="1">
      <c r="B390" s="464" t="s">
        <v>306</v>
      </c>
      <c r="C390" s="465" t="s">
        <v>307</v>
      </c>
      <c r="D390" s="466"/>
      <c r="E390" s="466"/>
      <c r="F390" s="466"/>
      <c r="G390" s="466"/>
      <c r="H390" s="467"/>
      <c r="I390" s="468" t="s">
        <v>308</v>
      </c>
      <c r="J390" s="469" t="s">
        <v>80</v>
      </c>
      <c r="K390" s="470" t="s">
        <v>309</v>
      </c>
      <c r="L390" s="471" t="s">
        <v>67</v>
      </c>
      <c r="M390" s="455"/>
      <c r="N390" s="472" t="s">
        <v>62</v>
      </c>
      <c r="O390" s="473"/>
      <c r="P390" s="160"/>
      <c r="Q390" s="474" t="s">
        <v>63</v>
      </c>
      <c r="R390" s="475"/>
      <c r="S390" s="148"/>
      <c r="T390" s="475" t="s">
        <v>64</v>
      </c>
      <c r="U390" s="476"/>
      <c r="V390" s="477"/>
      <c r="W390" s="478"/>
      <c r="X390" s="149"/>
      <c r="Y390" s="190">
        <f>+R390+O390</f>
        <v>0</v>
      </c>
      <c r="Z390" s="190">
        <f>+U390-Y390</f>
        <v>0</v>
      </c>
    </row>
    <row r="391" spans="2:26" s="150" customFormat="1" ht="15" customHeight="1">
      <c r="B391" s="514">
        <v>2</v>
      </c>
      <c r="C391" s="986" t="s">
        <v>96</v>
      </c>
      <c r="D391" s="987"/>
      <c r="E391" s="987"/>
      <c r="F391" s="987"/>
      <c r="G391" s="987"/>
      <c r="H391" s="988"/>
      <c r="I391" s="372"/>
      <c r="J391" s="226"/>
      <c r="K391" s="515"/>
      <c r="L391" s="480"/>
      <c r="M391" s="455"/>
      <c r="N391" s="481"/>
      <c r="O391" s="482">
        <f t="shared" ref="O391:O399" si="59">+ROUND((ROUNDDOWN(N391,2))*K391,2)</f>
        <v>0</v>
      </c>
      <c r="P391" s="160"/>
      <c r="Q391" s="483"/>
      <c r="R391" s="484">
        <f t="shared" ref="R391:R399" si="60">Q391*K391</f>
        <v>0</v>
      </c>
      <c r="S391" s="485"/>
      <c r="T391" s="182">
        <f t="shared" ref="T391:T399" si="61">+N391+Q391</f>
        <v>0</v>
      </c>
      <c r="U391" s="482">
        <f t="shared" ref="U391:U399" si="62">+ROUND((ROUNDDOWN(T391,2))*K391,2)</f>
        <v>0</v>
      </c>
      <c r="V391" s="981"/>
      <c r="W391" s="982"/>
      <c r="X391" s="149"/>
      <c r="Y391" s="190">
        <f>+R391+O391</f>
        <v>0</v>
      </c>
      <c r="Z391" s="190">
        <f>+U391-Y391</f>
        <v>0</v>
      </c>
    </row>
    <row r="392" spans="2:26" s="150" customFormat="1" ht="15" customHeight="1">
      <c r="B392" s="514"/>
      <c r="C392" s="986"/>
      <c r="D392" s="987"/>
      <c r="E392" s="987"/>
      <c r="F392" s="987"/>
      <c r="G392" s="987"/>
      <c r="H392" s="988"/>
      <c r="I392" s="372"/>
      <c r="J392" s="226"/>
      <c r="K392" s="515"/>
      <c r="L392" s="480">
        <f>J392*K392</f>
        <v>0</v>
      </c>
      <c r="M392" s="455"/>
      <c r="N392" s="481"/>
      <c r="O392" s="482">
        <f t="shared" si="59"/>
        <v>0</v>
      </c>
      <c r="P392" s="160"/>
      <c r="Q392" s="516"/>
      <c r="R392" s="484">
        <f t="shared" si="60"/>
        <v>0</v>
      </c>
      <c r="S392" s="485"/>
      <c r="T392" s="182">
        <f t="shared" si="61"/>
        <v>0</v>
      </c>
      <c r="U392" s="482">
        <f t="shared" si="62"/>
        <v>0</v>
      </c>
      <c r="V392" s="981"/>
      <c r="W392" s="982"/>
      <c r="X392" s="149"/>
      <c r="Y392" s="190"/>
      <c r="Z392" s="190"/>
    </row>
    <row r="393" spans="2:26" s="150" customFormat="1" ht="15" customHeight="1">
      <c r="B393" s="514"/>
      <c r="C393" s="926"/>
      <c r="D393" s="927"/>
      <c r="E393" s="927"/>
      <c r="F393" s="927"/>
      <c r="G393" s="927"/>
      <c r="H393" s="928"/>
      <c r="I393" s="372"/>
      <c r="J393" s="226"/>
      <c r="K393" s="515"/>
      <c r="L393" s="480"/>
      <c r="M393" s="487"/>
      <c r="N393" s="517"/>
      <c r="O393" s="482">
        <f t="shared" si="59"/>
        <v>0</v>
      </c>
      <c r="P393" s="160"/>
      <c r="Q393" s="483"/>
      <c r="R393" s="484">
        <f t="shared" si="60"/>
        <v>0</v>
      </c>
      <c r="S393" s="485"/>
      <c r="T393" s="182">
        <f t="shared" si="61"/>
        <v>0</v>
      </c>
      <c r="U393" s="482">
        <f t="shared" si="62"/>
        <v>0</v>
      </c>
      <c r="V393" s="981"/>
      <c r="W393" s="982"/>
      <c r="X393" s="149"/>
      <c r="Y393" s="190"/>
      <c r="Z393" s="190"/>
    </row>
    <row r="394" spans="2:26" s="150" customFormat="1" ht="15" customHeight="1">
      <c r="B394" s="479"/>
      <c r="C394" s="978"/>
      <c r="D394" s="979"/>
      <c r="E394" s="979"/>
      <c r="F394" s="979"/>
      <c r="G394" s="979"/>
      <c r="H394" s="980"/>
      <c r="I394" s="468"/>
      <c r="J394" s="469"/>
      <c r="K394" s="470"/>
      <c r="L394" s="480"/>
      <c r="M394" s="487"/>
      <c r="N394" s="182"/>
      <c r="O394" s="482">
        <f t="shared" si="59"/>
        <v>0</v>
      </c>
      <c r="P394" s="160"/>
      <c r="Q394" s="483"/>
      <c r="R394" s="484">
        <f t="shared" si="60"/>
        <v>0</v>
      </c>
      <c r="S394" s="485"/>
      <c r="T394" s="182">
        <f t="shared" si="61"/>
        <v>0</v>
      </c>
      <c r="U394" s="482">
        <f t="shared" si="62"/>
        <v>0</v>
      </c>
      <c r="V394" s="981"/>
      <c r="W394" s="982"/>
      <c r="X394" s="149"/>
      <c r="Y394" s="190"/>
      <c r="Z394" s="190"/>
    </row>
    <row r="395" spans="2:26" s="150" customFormat="1" ht="15" customHeight="1">
      <c r="B395" s="479"/>
      <c r="C395" s="978"/>
      <c r="D395" s="979"/>
      <c r="E395" s="979"/>
      <c r="F395" s="979"/>
      <c r="G395" s="979"/>
      <c r="H395" s="980"/>
      <c r="I395" s="468"/>
      <c r="J395" s="469"/>
      <c r="K395" s="470"/>
      <c r="L395" s="480"/>
      <c r="M395" s="487"/>
      <c r="N395" s="481"/>
      <c r="O395" s="482">
        <f t="shared" si="59"/>
        <v>0</v>
      </c>
      <c r="P395" s="160"/>
      <c r="Q395" s="483"/>
      <c r="R395" s="484">
        <f t="shared" si="60"/>
        <v>0</v>
      </c>
      <c r="S395" s="485"/>
      <c r="T395" s="182">
        <f t="shared" si="61"/>
        <v>0</v>
      </c>
      <c r="U395" s="482">
        <f t="shared" si="62"/>
        <v>0</v>
      </c>
      <c r="V395" s="981"/>
      <c r="W395" s="982"/>
      <c r="X395" s="149"/>
      <c r="Y395" s="190"/>
      <c r="Z395" s="190"/>
    </row>
    <row r="396" spans="2:26" s="150" customFormat="1" ht="15" customHeight="1">
      <c r="B396" s="479"/>
      <c r="C396" s="978"/>
      <c r="D396" s="979"/>
      <c r="E396" s="979"/>
      <c r="F396" s="979"/>
      <c r="G396" s="979"/>
      <c r="H396" s="980"/>
      <c r="I396" s="468"/>
      <c r="J396" s="469"/>
      <c r="K396" s="488"/>
      <c r="L396" s="480"/>
      <c r="M396" s="487"/>
      <c r="N396" s="437"/>
      <c r="O396" s="482">
        <f t="shared" si="59"/>
        <v>0</v>
      </c>
      <c r="P396" s="160"/>
      <c r="Q396" s="180"/>
      <c r="R396" s="484">
        <f t="shared" si="60"/>
        <v>0</v>
      </c>
      <c r="S396" s="485"/>
      <c r="T396" s="182">
        <f t="shared" si="61"/>
        <v>0</v>
      </c>
      <c r="U396" s="482">
        <f t="shared" si="62"/>
        <v>0</v>
      </c>
      <c r="V396" s="981"/>
      <c r="W396" s="982"/>
      <c r="X396" s="149"/>
      <c r="Y396" s="190"/>
      <c r="Z396" s="190"/>
    </row>
    <row r="397" spans="2:26" s="150" customFormat="1" ht="15" customHeight="1">
      <c r="B397" s="479"/>
      <c r="C397" s="978"/>
      <c r="D397" s="979"/>
      <c r="E397" s="979"/>
      <c r="F397" s="979"/>
      <c r="G397" s="979"/>
      <c r="H397" s="980"/>
      <c r="I397" s="468"/>
      <c r="J397" s="469"/>
      <c r="K397" s="488"/>
      <c r="L397" s="480"/>
      <c r="M397" s="487"/>
      <c r="N397" s="437"/>
      <c r="O397" s="482">
        <f t="shared" si="59"/>
        <v>0</v>
      </c>
      <c r="P397" s="160"/>
      <c r="Q397" s="180"/>
      <c r="R397" s="484">
        <f t="shared" si="60"/>
        <v>0</v>
      </c>
      <c r="S397" s="485"/>
      <c r="T397" s="182">
        <f t="shared" si="61"/>
        <v>0</v>
      </c>
      <c r="U397" s="482">
        <f t="shared" si="62"/>
        <v>0</v>
      </c>
      <c r="V397" s="981"/>
      <c r="W397" s="982"/>
      <c r="X397" s="149"/>
      <c r="Y397" s="190"/>
      <c r="Z397" s="190"/>
    </row>
    <row r="398" spans="2:26" s="150" customFormat="1" ht="15" customHeight="1">
      <c r="B398" s="479"/>
      <c r="C398" s="978"/>
      <c r="D398" s="979"/>
      <c r="E398" s="979"/>
      <c r="F398" s="979"/>
      <c r="G398" s="979"/>
      <c r="H398" s="980"/>
      <c r="I398" s="468"/>
      <c r="J398" s="469"/>
      <c r="K398" s="488"/>
      <c r="L398" s="480"/>
      <c r="M398" s="487"/>
      <c r="N398" s="481"/>
      <c r="O398" s="482">
        <f t="shared" si="59"/>
        <v>0</v>
      </c>
      <c r="P398" s="160"/>
      <c r="Q398" s="483"/>
      <c r="R398" s="484">
        <f t="shared" si="60"/>
        <v>0</v>
      </c>
      <c r="S398" s="485"/>
      <c r="T398" s="182">
        <f t="shared" si="61"/>
        <v>0</v>
      </c>
      <c r="U398" s="482">
        <f t="shared" si="62"/>
        <v>0</v>
      </c>
      <c r="V398" s="981"/>
      <c r="W398" s="982"/>
      <c r="X398" s="149"/>
      <c r="Y398" s="190"/>
      <c r="Z398" s="190"/>
    </row>
    <row r="399" spans="2:26" s="150" customFormat="1" ht="15" customHeight="1">
      <c r="B399" s="489"/>
      <c r="C399" s="978"/>
      <c r="D399" s="979"/>
      <c r="E399" s="979"/>
      <c r="F399" s="979"/>
      <c r="G399" s="979"/>
      <c r="H399" s="980"/>
      <c r="I399" s="237"/>
      <c r="J399" s="490"/>
      <c r="K399" s="491"/>
      <c r="L399" s="480"/>
      <c r="M399" s="487"/>
      <c r="N399" s="481"/>
      <c r="O399" s="482">
        <f t="shared" si="59"/>
        <v>0</v>
      </c>
      <c r="P399" s="160"/>
      <c r="Q399" s="483"/>
      <c r="R399" s="484">
        <f t="shared" si="60"/>
        <v>0</v>
      </c>
      <c r="S399" s="485"/>
      <c r="T399" s="182">
        <f t="shared" si="61"/>
        <v>0</v>
      </c>
      <c r="U399" s="482">
        <f t="shared" si="62"/>
        <v>0</v>
      </c>
      <c r="V399" s="981"/>
      <c r="W399" s="982"/>
      <c r="X399" s="149"/>
      <c r="Y399" s="190"/>
      <c r="Z399" s="190"/>
    </row>
    <row r="400" spans="2:26" s="150" customFormat="1" ht="42" customHeight="1">
      <c r="B400" s="991" t="s">
        <v>312</v>
      </c>
      <c r="C400" s="992"/>
      <c r="D400" s="992"/>
      <c r="E400" s="992"/>
      <c r="F400" s="992"/>
      <c r="G400" s="992"/>
      <c r="H400" s="992"/>
      <c r="I400" s="992"/>
      <c r="J400" s="992"/>
      <c r="K400" s="993"/>
      <c r="L400" s="500">
        <f>SUM(L391:L399)</f>
        <v>0</v>
      </c>
      <c r="M400" s="442"/>
      <c r="N400" s="499"/>
      <c r="O400" s="500">
        <f>SUM(O391:O399)</f>
        <v>0</v>
      </c>
      <c r="P400" s="442"/>
      <c r="Q400" s="501"/>
      <c r="R400" s="498">
        <f>SUM(R392:R399)</f>
        <v>0</v>
      </c>
      <c r="S400" s="442"/>
      <c r="T400" s="502"/>
      <c r="U400" s="498">
        <f>SUM(U392:U399)</f>
        <v>0</v>
      </c>
      <c r="V400" s="989"/>
      <c r="W400" s="990"/>
      <c r="X400" s="149"/>
    </row>
    <row r="401" spans="2:24" s="50" customFormat="1" ht="4.5" customHeight="1">
      <c r="B401" s="120"/>
      <c r="C401" s="518"/>
      <c r="D401" s="518"/>
      <c r="E401" s="518"/>
      <c r="F401" s="518"/>
      <c r="G401" s="518"/>
      <c r="H401" s="518"/>
      <c r="I401" s="519"/>
      <c r="J401" s="520"/>
      <c r="K401" s="521"/>
      <c r="L401" s="522"/>
      <c r="M401" s="523"/>
      <c r="N401" s="524"/>
      <c r="O401" s="525"/>
      <c r="P401" s="523"/>
      <c r="Q401" s="526"/>
      <c r="R401" s="522"/>
      <c r="S401" s="523"/>
      <c r="T401" s="522"/>
      <c r="U401" s="525"/>
      <c r="V401" s="527"/>
      <c r="W401" s="527"/>
      <c r="X401" s="49"/>
    </row>
    <row r="402" spans="2:24" ht="12.75" customHeight="1">
      <c r="B402" s="528"/>
      <c r="C402" s="529"/>
      <c r="D402" s="529"/>
      <c r="E402" s="529"/>
      <c r="F402" s="529"/>
      <c r="G402" s="529"/>
      <c r="H402" s="529"/>
      <c r="I402" s="530"/>
      <c r="J402" s="531"/>
      <c r="K402" s="532"/>
      <c r="L402" s="533"/>
      <c r="M402" s="534"/>
      <c r="N402" s="533"/>
      <c r="O402" s="535"/>
      <c r="P402" s="534"/>
      <c r="Q402" s="536"/>
      <c r="R402" s="533"/>
      <c r="S402" s="534"/>
      <c r="T402" s="534"/>
      <c r="U402" s="535"/>
      <c r="V402" s="537"/>
      <c r="W402" s="538"/>
      <c r="X402" s="18"/>
    </row>
    <row r="403" spans="2:24" ht="9" customHeight="1">
      <c r="B403" s="539"/>
      <c r="C403" s="540"/>
      <c r="K403" s="543"/>
      <c r="O403" s="543"/>
      <c r="U403" s="543"/>
      <c r="X403" s="18"/>
    </row>
    <row r="404" spans="2:24" ht="7.5" customHeight="1">
      <c r="B404" s="547"/>
      <c r="C404" s="548"/>
      <c r="D404" s="548"/>
      <c r="E404" s="548"/>
      <c r="F404" s="548"/>
      <c r="G404" s="548"/>
      <c r="H404" s="548"/>
      <c r="I404" s="10"/>
      <c r="J404" s="11"/>
      <c r="K404" s="12"/>
      <c r="L404" s="549"/>
      <c r="M404" s="111"/>
      <c r="N404" s="550"/>
      <c r="O404" s="551"/>
      <c r="P404" s="111"/>
      <c r="Q404" s="552"/>
      <c r="R404" s="553"/>
      <c r="S404" s="554"/>
      <c r="T404" s="548"/>
      <c r="U404" s="555"/>
      <c r="V404" s="556"/>
      <c r="W404" s="557"/>
      <c r="X404" s="18"/>
    </row>
    <row r="405" spans="2:24" ht="20.100000000000001" customHeight="1">
      <c r="B405" s="558" t="s">
        <v>313</v>
      </c>
      <c r="C405" s="559"/>
      <c r="D405" s="559"/>
      <c r="E405" s="559"/>
      <c r="F405" s="559"/>
      <c r="G405" s="559"/>
      <c r="H405" s="559"/>
      <c r="K405" s="560"/>
      <c r="L405" s="561">
        <f>L400+L383+L365</f>
        <v>842169216.83999991</v>
      </c>
      <c r="M405" s="523"/>
      <c r="N405" s="562"/>
      <c r="O405" s="563">
        <f>+ROUND(O383+O365+O400,2)</f>
        <v>242945348.52000001</v>
      </c>
      <c r="P405" s="523"/>
      <c r="Q405" s="564"/>
      <c r="R405" s="563">
        <f>+ROUND(R383+R365+R400,2)</f>
        <v>148821027.56</v>
      </c>
      <c r="S405" s="565"/>
      <c r="T405" s="523"/>
      <c r="U405" s="566">
        <f>O405+R405</f>
        <v>391766376.08000004</v>
      </c>
      <c r="V405" s="994"/>
      <c r="W405" s="995"/>
      <c r="X405" s="18"/>
    </row>
    <row r="406" spans="2:24" ht="9.9499999999999993" customHeight="1">
      <c r="B406" s="142"/>
      <c r="C406" s="111"/>
      <c r="D406" s="567"/>
      <c r="E406" s="567"/>
      <c r="F406" s="567"/>
      <c r="G406" s="567"/>
      <c r="H406" s="111"/>
      <c r="K406" s="560"/>
      <c r="L406" s="568"/>
      <c r="M406" s="523"/>
      <c r="N406" s="562"/>
      <c r="O406" s="569"/>
      <c r="P406" s="523"/>
      <c r="Q406" s="564"/>
      <c r="R406" s="570"/>
      <c r="S406" s="565"/>
      <c r="T406" s="523"/>
      <c r="U406" s="570"/>
      <c r="V406" s="571"/>
      <c r="W406" s="572"/>
      <c r="X406" s="18"/>
    </row>
    <row r="407" spans="2:24" ht="20.100000000000001" customHeight="1">
      <c r="B407" s="558" t="s">
        <v>314</v>
      </c>
      <c r="C407" s="559"/>
      <c r="D407" s="573"/>
      <c r="E407" s="574" t="s">
        <v>315</v>
      </c>
      <c r="F407" s="575">
        <v>0.2505</v>
      </c>
      <c r="G407" s="576"/>
      <c r="H407" s="559" t="s">
        <v>316</v>
      </c>
      <c r="K407" s="560"/>
      <c r="L407" s="561">
        <f>L405*F407</f>
        <v>210963388.81841999</v>
      </c>
      <c r="M407" s="523"/>
      <c r="N407" s="562"/>
      <c r="O407" s="563">
        <f>+ROUND(O405*F407,2)</f>
        <v>60857809.799999997</v>
      </c>
      <c r="P407" s="523"/>
      <c r="Q407" s="564"/>
      <c r="R407" s="566">
        <f>ROUND(R405*F407,2)</f>
        <v>37279667.399999999</v>
      </c>
      <c r="S407" s="565"/>
      <c r="T407" s="523"/>
      <c r="U407" s="566">
        <f>+IF(U405="OJO ERROR EN SUMA","OJO ERROR EN SUMA",R407+O407)</f>
        <v>98137477.199999988</v>
      </c>
      <c r="V407" s="994"/>
      <c r="W407" s="995"/>
      <c r="X407" s="18"/>
    </row>
    <row r="408" spans="2:24" ht="9.9499999999999993" customHeight="1">
      <c r="B408" s="558"/>
      <c r="C408" s="559"/>
      <c r="D408" s="559"/>
      <c r="E408" s="559"/>
      <c r="F408" s="559"/>
      <c r="G408" s="559"/>
      <c r="H408" s="559"/>
      <c r="K408" s="560"/>
      <c r="L408" s="568"/>
      <c r="M408" s="523"/>
      <c r="N408" s="562"/>
      <c r="O408" s="577"/>
      <c r="P408" s="523"/>
      <c r="Q408" s="564"/>
      <c r="R408" s="570"/>
      <c r="S408" s="565"/>
      <c r="T408" s="523"/>
      <c r="U408" s="570"/>
      <c r="V408" s="578"/>
      <c r="W408" s="579"/>
      <c r="X408" s="18"/>
    </row>
    <row r="409" spans="2:24" ht="20.100000000000001" customHeight="1">
      <c r="B409" s="558" t="s">
        <v>317</v>
      </c>
      <c r="C409" s="559"/>
      <c r="D409" s="573"/>
      <c r="E409" s="574" t="s">
        <v>315</v>
      </c>
      <c r="F409" s="575">
        <v>0.01</v>
      </c>
      <c r="G409" s="576"/>
      <c r="H409" s="559" t="s">
        <v>316</v>
      </c>
      <c r="I409" s="580"/>
      <c r="K409" s="560"/>
      <c r="L409" s="561">
        <f>L405*F409</f>
        <v>8421692.1683999989</v>
      </c>
      <c r="M409" s="523"/>
      <c r="N409" s="562"/>
      <c r="O409" s="563">
        <f>+ROUND(O405*F409,2)</f>
        <v>2429453.4900000002</v>
      </c>
      <c r="P409" s="523"/>
      <c r="Q409" s="564"/>
      <c r="R409" s="566">
        <f>ROUND(R405*F409,2)</f>
        <v>1488210.28</v>
      </c>
      <c r="S409" s="565"/>
      <c r="T409" s="523"/>
      <c r="U409" s="566">
        <f>+IF(U405="OJO ERROR EN SUMA","OJO ERROR EN SUMA",R409+O409)</f>
        <v>3917663.7700000005</v>
      </c>
      <c r="V409" s="994"/>
      <c r="W409" s="995"/>
      <c r="X409" s="18"/>
    </row>
    <row r="410" spans="2:24" ht="9.9499999999999993" customHeight="1">
      <c r="B410" s="558"/>
      <c r="C410" s="559"/>
      <c r="D410" s="559"/>
      <c r="E410" s="559"/>
      <c r="F410" s="559"/>
      <c r="G410" s="559"/>
      <c r="H410" s="559"/>
      <c r="K410" s="560"/>
      <c r="L410" s="568"/>
      <c r="M410" s="523"/>
      <c r="N410" s="562"/>
      <c r="O410" s="577"/>
      <c r="P410" s="523"/>
      <c r="Q410" s="564"/>
      <c r="R410" s="570"/>
      <c r="S410" s="565"/>
      <c r="T410" s="523"/>
      <c r="U410" s="570"/>
      <c r="V410" s="578"/>
      <c r="W410" s="579"/>
      <c r="X410" s="18"/>
    </row>
    <row r="411" spans="2:24" ht="20.100000000000001" customHeight="1">
      <c r="B411" s="558" t="s">
        <v>318</v>
      </c>
      <c r="C411" s="559"/>
      <c r="D411" s="573"/>
      <c r="E411" s="574" t="s">
        <v>315</v>
      </c>
      <c r="F411" s="575">
        <v>0.05</v>
      </c>
      <c r="G411" s="576"/>
      <c r="H411" s="559" t="s">
        <v>316</v>
      </c>
      <c r="I411" s="581">
        <f>+F407+F409+F411+F411*F413</f>
        <v>0.32</v>
      </c>
      <c r="K411" s="560"/>
      <c r="L411" s="561">
        <f>L405*F411</f>
        <v>42108460.842</v>
      </c>
      <c r="M411" s="523"/>
      <c r="N411" s="562"/>
      <c r="O411" s="563">
        <f>+ROUND(O405*F411,2)</f>
        <v>12147267.43</v>
      </c>
      <c r="P411" s="523"/>
      <c r="Q411" s="564"/>
      <c r="R411" s="566">
        <f>ROUND(R405*F411,2)</f>
        <v>7441051.3799999999</v>
      </c>
      <c r="S411" s="565"/>
      <c r="T411" s="523"/>
      <c r="U411" s="566">
        <f>+IF(U405="OJO ERROR EN SUMA","OJO ERROR EN SUMA",R411+O411)</f>
        <v>19588318.809999999</v>
      </c>
      <c r="V411" s="994"/>
      <c r="W411" s="995"/>
      <c r="X411" s="18"/>
    </row>
    <row r="412" spans="2:24" ht="9.9499999999999993" customHeight="1">
      <c r="B412" s="558"/>
      <c r="C412" s="559"/>
      <c r="D412" s="559"/>
      <c r="E412" s="559"/>
      <c r="F412" s="559"/>
      <c r="G412" s="559"/>
      <c r="H412" s="559"/>
      <c r="K412" s="560"/>
      <c r="L412" s="568"/>
      <c r="M412" s="523"/>
      <c r="N412" s="562"/>
      <c r="O412" s="577"/>
      <c r="P412" s="523"/>
      <c r="Q412" s="564"/>
      <c r="R412" s="570"/>
      <c r="S412" s="565"/>
      <c r="T412" s="523"/>
      <c r="U412" s="570"/>
      <c r="V412" s="578"/>
      <c r="W412" s="579"/>
      <c r="X412" s="18"/>
    </row>
    <row r="413" spans="2:24" ht="20.100000000000001" customHeight="1">
      <c r="B413" s="558" t="s">
        <v>319</v>
      </c>
      <c r="C413" s="559"/>
      <c r="D413" s="559"/>
      <c r="E413" s="574" t="s">
        <v>315</v>
      </c>
      <c r="F413" s="575">
        <v>0.19</v>
      </c>
      <c r="G413" s="576"/>
      <c r="H413" s="559" t="s">
        <v>316</v>
      </c>
      <c r="I413" s="582"/>
      <c r="J413" s="583"/>
      <c r="K413" s="560"/>
      <c r="L413" s="561">
        <f>L411*F413</f>
        <v>8000607.5599800004</v>
      </c>
      <c r="M413" s="523"/>
      <c r="N413" s="562"/>
      <c r="O413" s="563">
        <f>+ROUND(O411*F413,2)</f>
        <v>2307980.81</v>
      </c>
      <c r="P413" s="523"/>
      <c r="Q413" s="564"/>
      <c r="R413" s="566">
        <f>ROUND(R411*F413,2)</f>
        <v>1413799.76</v>
      </c>
      <c r="S413" s="565"/>
      <c r="T413" s="523"/>
      <c r="U413" s="566">
        <f>+ROUND(U411*F413,2)</f>
        <v>3721780.57</v>
      </c>
      <c r="V413" s="994"/>
      <c r="W413" s="995"/>
      <c r="X413" s="18"/>
    </row>
    <row r="414" spans="2:24" ht="9.9499999999999993" customHeight="1">
      <c r="B414" s="558"/>
      <c r="C414" s="559"/>
      <c r="D414" s="559"/>
      <c r="E414" s="559"/>
      <c r="F414" s="559"/>
      <c r="G414" s="559"/>
      <c r="H414" s="559"/>
      <c r="K414" s="560"/>
      <c r="L414" s="568"/>
      <c r="M414" s="523"/>
      <c r="N414" s="562"/>
      <c r="O414" s="577"/>
      <c r="P414" s="523"/>
      <c r="Q414" s="564"/>
      <c r="R414" s="570"/>
      <c r="S414" s="565"/>
      <c r="T414" s="523"/>
      <c r="U414" s="570"/>
      <c r="V414" s="578"/>
      <c r="W414" s="579"/>
      <c r="X414" s="18"/>
    </row>
    <row r="415" spans="2:24" ht="20.100000000000001" customHeight="1">
      <c r="B415" s="558" t="s">
        <v>320</v>
      </c>
      <c r="C415" s="559"/>
      <c r="D415" s="559"/>
      <c r="E415" s="559"/>
      <c r="F415" s="584"/>
      <c r="G415" s="584"/>
      <c r="H415" s="584"/>
      <c r="I415" s="582"/>
      <c r="J415" s="583"/>
      <c r="K415" s="560"/>
      <c r="L415" s="561">
        <f>SUM(L405:L414)</f>
        <v>1111663366.2287998</v>
      </c>
      <c r="M415" s="523"/>
      <c r="N415" s="562"/>
      <c r="O415" s="563">
        <f>+ROUND(O405+O407+O409+O411+O413,2)</f>
        <v>320687860.05000001</v>
      </c>
      <c r="P415" s="523"/>
      <c r="Q415" s="564"/>
      <c r="R415" s="566">
        <f>+ROUND(R405+R407+R409+R411+R413,2)</f>
        <v>196443756.38</v>
      </c>
      <c r="S415" s="565"/>
      <c r="T415" s="523"/>
      <c r="U415" s="566">
        <f>+ROUND(U405+U407+U409+U411+U413,2)</f>
        <v>517131616.43000001</v>
      </c>
      <c r="V415" s="994"/>
      <c r="W415" s="995"/>
      <c r="X415" s="18"/>
    </row>
    <row r="416" spans="2:24" ht="9.9499999999999993" customHeight="1">
      <c r="B416" s="558"/>
      <c r="C416" s="559"/>
      <c r="D416" s="559"/>
      <c r="E416" s="559"/>
      <c r="F416" s="559"/>
      <c r="G416" s="559"/>
      <c r="H416" s="559"/>
      <c r="K416" s="560"/>
      <c r="L416" s="568"/>
      <c r="M416" s="523"/>
      <c r="N416" s="562"/>
      <c r="O416" s="569"/>
      <c r="P416" s="523"/>
      <c r="Q416" s="564"/>
      <c r="R416" s="570"/>
      <c r="S416" s="565"/>
      <c r="T416" s="523"/>
      <c r="U416" s="570"/>
      <c r="V416" s="578"/>
      <c r="W416" s="579"/>
      <c r="X416" s="18"/>
    </row>
    <row r="417" spans="2:27" ht="20.100000000000001" customHeight="1">
      <c r="B417" s="558" t="s">
        <v>321</v>
      </c>
      <c r="C417" s="559"/>
      <c r="D417" s="559"/>
      <c r="E417" s="559"/>
      <c r="F417" s="559"/>
      <c r="G417" s="559"/>
      <c r="H417" s="559"/>
      <c r="K417" s="560"/>
      <c r="L417" s="561">
        <f>L366</f>
        <v>18639362</v>
      </c>
      <c r="M417" s="523"/>
      <c r="N417" s="562"/>
      <c r="O417" s="563">
        <f>+O366</f>
        <v>4504087.6029411769</v>
      </c>
      <c r="P417" s="523"/>
      <c r="Q417" s="564"/>
      <c r="R417" s="563">
        <f>+R366</f>
        <v>13078048.420168068</v>
      </c>
      <c r="S417" s="565"/>
      <c r="T417" s="523"/>
      <c r="U417" s="566">
        <f>+R417+O417</f>
        <v>17582136.023109246</v>
      </c>
      <c r="V417" s="994"/>
      <c r="W417" s="995"/>
      <c r="X417" s="18"/>
    </row>
    <row r="418" spans="2:27" ht="9.9499999999999993" customHeight="1">
      <c r="B418" s="142"/>
      <c r="C418" s="111"/>
      <c r="D418" s="567"/>
      <c r="E418" s="567"/>
      <c r="F418" s="567"/>
      <c r="G418" s="567"/>
      <c r="H418" s="111"/>
      <c r="K418" s="560"/>
      <c r="L418" s="585">
        <f>L61</f>
        <v>0</v>
      </c>
      <c r="M418" s="523"/>
      <c r="N418" s="562"/>
      <c r="O418" s="569"/>
      <c r="P418" s="523"/>
      <c r="Q418" s="564"/>
      <c r="R418" s="570"/>
      <c r="S418" s="565"/>
      <c r="T418" s="523"/>
      <c r="U418" s="570"/>
      <c r="V418" s="571"/>
      <c r="W418" s="572"/>
      <c r="X418" s="18"/>
    </row>
    <row r="419" spans="2:27" ht="20.100000000000001" customHeight="1">
      <c r="B419" s="558" t="s">
        <v>322</v>
      </c>
      <c r="C419" s="559"/>
      <c r="D419" s="573"/>
      <c r="E419" s="573"/>
      <c r="F419" s="575">
        <v>0.19</v>
      </c>
      <c r="G419" s="576"/>
      <c r="H419" s="559" t="s">
        <v>316</v>
      </c>
      <c r="K419" s="560"/>
      <c r="L419" s="561">
        <f>L417*F419</f>
        <v>3541478.7800000003</v>
      </c>
      <c r="M419" s="523"/>
      <c r="N419" s="562"/>
      <c r="O419" s="563">
        <f>+O417*F419</f>
        <v>855776.64455882367</v>
      </c>
      <c r="P419" s="523"/>
      <c r="Q419" s="564"/>
      <c r="R419" s="563">
        <f>+R417*F419</f>
        <v>2484829.1998319328</v>
      </c>
      <c r="S419" s="565"/>
      <c r="T419" s="523"/>
      <c r="U419" s="566">
        <f>+R419+O419</f>
        <v>3340605.8443907565</v>
      </c>
      <c r="V419" s="994"/>
      <c r="W419" s="995"/>
      <c r="X419" s="18"/>
    </row>
    <row r="420" spans="2:27" ht="9.9499999999999993" customHeight="1">
      <c r="B420" s="558"/>
      <c r="C420" s="559"/>
      <c r="D420" s="559"/>
      <c r="E420" s="559"/>
      <c r="F420" s="559"/>
      <c r="G420" s="559"/>
      <c r="H420" s="559"/>
      <c r="K420" s="560"/>
      <c r="L420" s="585"/>
      <c r="M420" s="523"/>
      <c r="N420" s="562"/>
      <c r="O420" s="569"/>
      <c r="P420" s="523"/>
      <c r="Q420" s="564"/>
      <c r="R420" s="570"/>
      <c r="S420" s="565"/>
      <c r="T420" s="523"/>
      <c r="U420" s="570"/>
      <c r="V420" s="578"/>
      <c r="W420" s="579"/>
      <c r="X420" s="18"/>
    </row>
    <row r="421" spans="2:27" ht="20.100000000000001" customHeight="1">
      <c r="B421" s="558" t="s">
        <v>323</v>
      </c>
      <c r="C421" s="559"/>
      <c r="D421" s="559"/>
      <c r="E421" s="559"/>
      <c r="F421" s="584"/>
      <c r="G421" s="584"/>
      <c r="H421" s="584"/>
      <c r="I421" s="582"/>
      <c r="J421" s="583"/>
      <c r="K421" s="560"/>
      <c r="L421" s="561">
        <f>L417+L419</f>
        <v>22180840.780000001</v>
      </c>
      <c r="M421" s="523"/>
      <c r="N421" s="562"/>
      <c r="O421" s="563">
        <f>+O417+O419-0.01</f>
        <v>5359864.2375000007</v>
      </c>
      <c r="P421" s="523"/>
      <c r="Q421" s="564"/>
      <c r="R421" s="563">
        <f>R366+R419</f>
        <v>15562877.620000001</v>
      </c>
      <c r="S421" s="565"/>
      <c r="T421" s="523"/>
      <c r="U421" s="566">
        <f>+R421+O421</f>
        <v>20922741.857500002</v>
      </c>
      <c r="V421" s="994"/>
      <c r="W421" s="995"/>
      <c r="X421" s="18"/>
    </row>
    <row r="422" spans="2:27" ht="12.75" customHeight="1" thickBot="1">
      <c r="B422" s="558"/>
      <c r="C422" s="559"/>
      <c r="D422" s="559"/>
      <c r="E422" s="559"/>
      <c r="F422" s="559"/>
      <c r="G422" s="559"/>
      <c r="H422" s="559"/>
      <c r="K422" s="560"/>
      <c r="L422" s="585"/>
      <c r="M422" s="523"/>
      <c r="N422" s="562"/>
      <c r="O422" s="569"/>
      <c r="P422" s="523"/>
      <c r="Q422" s="564"/>
      <c r="R422" s="570"/>
      <c r="S422" s="565"/>
      <c r="T422" s="523"/>
      <c r="U422" s="570"/>
      <c r="V422" s="578"/>
      <c r="W422" s="579"/>
      <c r="X422" s="18"/>
    </row>
    <row r="423" spans="2:27" ht="24" customHeight="1" thickBot="1">
      <c r="B423" s="558" t="s">
        <v>324</v>
      </c>
      <c r="C423" s="559"/>
      <c r="D423" s="559"/>
      <c r="E423" s="559"/>
      <c r="F423" s="584"/>
      <c r="G423" s="584"/>
      <c r="H423" s="584"/>
      <c r="I423" s="582"/>
      <c r="J423" s="583"/>
      <c r="K423" s="586">
        <v>1133844207</v>
      </c>
      <c r="L423" s="587">
        <f>L421+L415</f>
        <v>1133844207.0087998</v>
      </c>
      <c r="M423" s="523"/>
      <c r="N423" s="562"/>
      <c r="O423" s="563">
        <f>ROUND(O415+O421,2)</f>
        <v>326047724.29000002</v>
      </c>
      <c r="P423" s="523"/>
      <c r="Q423" s="564"/>
      <c r="R423" s="566">
        <f>ROUND(R415+R421,2)</f>
        <v>212006634</v>
      </c>
      <c r="S423" s="565"/>
      <c r="T423" s="523"/>
      <c r="U423" s="566">
        <f>+U415+U421</f>
        <v>538054358.28750002</v>
      </c>
      <c r="V423" s="994"/>
      <c r="W423" s="995"/>
      <c r="X423" s="18"/>
    </row>
    <row r="424" spans="2:27" ht="21" customHeight="1" thickBot="1">
      <c r="B424" s="558"/>
      <c r="C424" s="559"/>
      <c r="D424" s="559"/>
      <c r="E424" s="559"/>
      <c r="F424" s="559"/>
      <c r="G424" s="559"/>
      <c r="H424" s="559"/>
      <c r="K424" s="560"/>
      <c r="L424" s="568"/>
      <c r="M424" s="523"/>
      <c r="N424" s="562"/>
      <c r="O424" s="569"/>
      <c r="P424" s="523"/>
      <c r="Q424" s="564"/>
      <c r="R424" s="570"/>
      <c r="S424" s="565"/>
      <c r="T424" s="523"/>
      <c r="U424" s="570"/>
      <c r="V424" s="588"/>
      <c r="W424" s="589"/>
      <c r="X424" s="18"/>
    </row>
    <row r="425" spans="2:27" ht="20.100000000000001" customHeight="1" thickBot="1">
      <c r="B425" s="558" t="s">
        <v>325</v>
      </c>
      <c r="C425" s="559"/>
      <c r="D425" s="559"/>
      <c r="E425" s="559"/>
      <c r="F425" s="559"/>
      <c r="G425" s="559"/>
      <c r="H425" s="559"/>
      <c r="K425" s="560"/>
      <c r="L425" s="590">
        <f>+K423-L423</f>
        <v>-8.7997913360595703E-3</v>
      </c>
      <c r="M425" s="591"/>
      <c r="N425" s="592"/>
      <c r="O425" s="593">
        <v>-0.28999999999999998</v>
      </c>
      <c r="P425" s="591"/>
      <c r="Q425" s="594"/>
      <c r="R425" s="593"/>
      <c r="S425" s="595"/>
      <c r="T425" s="591"/>
      <c r="U425" s="593">
        <f>R425+O425</f>
        <v>-0.28999999999999998</v>
      </c>
      <c r="V425" s="996"/>
      <c r="W425" s="997"/>
      <c r="X425" s="18"/>
    </row>
    <row r="426" spans="2:27" ht="9.9499999999999993" customHeight="1">
      <c r="B426" s="558"/>
      <c r="C426" s="559"/>
      <c r="D426" s="559"/>
      <c r="E426" s="559"/>
      <c r="F426" s="559"/>
      <c r="G426" s="559"/>
      <c r="H426" s="559"/>
      <c r="K426" s="560"/>
      <c r="L426" s="568"/>
      <c r="M426" s="523"/>
      <c r="N426" s="562"/>
      <c r="O426" s="569"/>
      <c r="P426" s="523"/>
      <c r="Q426" s="564"/>
      <c r="R426" s="570"/>
      <c r="S426" s="565"/>
      <c r="T426" s="523"/>
      <c r="U426" s="570"/>
      <c r="V426" s="596"/>
      <c r="W426" s="597"/>
      <c r="X426" s="18"/>
    </row>
    <row r="427" spans="2:27" ht="20.100000000000001" customHeight="1">
      <c r="B427" s="558" t="s">
        <v>326</v>
      </c>
      <c r="C427" s="559"/>
      <c r="D427" s="559"/>
      <c r="E427" s="559"/>
      <c r="F427" s="559"/>
      <c r="G427" s="559"/>
      <c r="H427" s="559"/>
      <c r="K427" s="560"/>
      <c r="L427" s="598"/>
      <c r="M427" s="523"/>
      <c r="N427" s="562"/>
      <c r="O427" s="563">
        <f>O423+O425</f>
        <v>326047724</v>
      </c>
      <c r="P427" s="523"/>
      <c r="Q427" s="564"/>
      <c r="R427" s="563">
        <f>R423+R425</f>
        <v>212006634</v>
      </c>
      <c r="S427" s="565"/>
      <c r="T427" s="523"/>
      <c r="U427" s="563">
        <f>R427+O427</f>
        <v>538054358</v>
      </c>
      <c r="V427" s="994"/>
      <c r="W427" s="995"/>
      <c r="X427" s="18"/>
    </row>
    <row r="428" spans="2:27" ht="9.9499999999999993" customHeight="1" thickBot="1">
      <c r="B428" s="558"/>
      <c r="C428" s="559"/>
      <c r="D428" s="559"/>
      <c r="E428" s="559"/>
      <c r="F428" s="559"/>
      <c r="G428" s="559"/>
      <c r="H428" s="559"/>
      <c r="K428" s="560"/>
      <c r="L428" s="568"/>
      <c r="M428" s="523"/>
      <c r="N428" s="562"/>
      <c r="O428" s="569"/>
      <c r="P428" s="523"/>
      <c r="Q428" s="564"/>
      <c r="R428" s="570"/>
      <c r="S428" s="565"/>
      <c r="T428" s="523"/>
      <c r="U428" s="570"/>
      <c r="V428" s="596"/>
      <c r="W428" s="597"/>
      <c r="X428" s="18"/>
    </row>
    <row r="429" spans="2:27" ht="20.100000000000001" customHeight="1" thickBot="1">
      <c r="B429" s="558" t="s">
        <v>327</v>
      </c>
      <c r="C429" s="559"/>
      <c r="D429" s="559"/>
      <c r="E429" s="559"/>
      <c r="F429" s="575">
        <f>L22</f>
        <v>0</v>
      </c>
      <c r="G429" s="576"/>
      <c r="H429" s="559" t="s">
        <v>316</v>
      </c>
      <c r="K429" s="560"/>
      <c r="L429" s="599"/>
      <c r="M429" s="523"/>
      <c r="N429" s="600"/>
      <c r="O429" s="601"/>
      <c r="P429" s="523"/>
      <c r="Q429" s="564"/>
      <c r="R429" s="602"/>
      <c r="S429" s="565"/>
      <c r="T429" s="523"/>
      <c r="U429" s="603">
        <f>+R429+O429</f>
        <v>0</v>
      </c>
      <c r="V429" s="1004"/>
      <c r="W429" s="1005"/>
      <c r="X429" s="604"/>
      <c r="AA429" s="605">
        <f>+AA431-AA435</f>
        <v>0.73426350235374049</v>
      </c>
    </row>
    <row r="430" spans="2:27" ht="17.25" customHeight="1" thickBot="1">
      <c r="B430" s="558"/>
      <c r="C430" s="559"/>
      <c r="D430" s="559"/>
      <c r="E430" s="559"/>
      <c r="F430" s="559"/>
      <c r="G430" s="559"/>
      <c r="H430" s="559"/>
      <c r="K430" s="560"/>
      <c r="L430" s="568"/>
      <c r="M430" s="523"/>
      <c r="N430" s="562"/>
      <c r="O430" s="569"/>
      <c r="P430" s="523"/>
      <c r="Q430" s="564"/>
      <c r="R430" s="570"/>
      <c r="S430" s="565"/>
      <c r="T430" s="523"/>
      <c r="U430" s="570"/>
      <c r="V430" s="606"/>
      <c r="W430" s="607"/>
      <c r="X430" s="18"/>
    </row>
    <row r="431" spans="2:27" ht="20.100000000000001" customHeight="1" thickBot="1">
      <c r="B431" s="558" t="s">
        <v>328</v>
      </c>
      <c r="C431" s="559"/>
      <c r="D431" s="559"/>
      <c r="E431" s="559"/>
      <c r="F431" s="584"/>
      <c r="G431" s="584"/>
      <c r="H431" s="584"/>
      <c r="I431" s="582"/>
      <c r="J431" s="583"/>
      <c r="K431" s="608"/>
      <c r="L431" s="609">
        <f>L423+L425</f>
        <v>1133844207</v>
      </c>
      <c r="M431" s="523"/>
      <c r="N431" s="562"/>
      <c r="O431" s="563">
        <f>O423+O425</f>
        <v>326047724</v>
      </c>
      <c r="P431" s="523"/>
      <c r="Q431" s="564"/>
      <c r="R431" s="566">
        <f>+ROUND(R427-R429,2)</f>
        <v>212006634</v>
      </c>
      <c r="S431" s="565"/>
      <c r="T431" s="523"/>
      <c r="U431" s="566">
        <f>+R431+O431</f>
        <v>538054358</v>
      </c>
      <c r="V431" s="994"/>
      <c r="W431" s="995"/>
      <c r="X431" s="18"/>
      <c r="AA431" s="605">
        <v>0.31596350235374054</v>
      </c>
    </row>
    <row r="432" spans="2:27" ht="12.75" customHeight="1">
      <c r="B432" s="558"/>
      <c r="C432" s="559"/>
      <c r="D432" s="559"/>
      <c r="E432" s="559"/>
      <c r="F432" s="559"/>
      <c r="G432" s="559"/>
      <c r="H432" s="559"/>
      <c r="K432" s="560"/>
      <c r="L432" s="610"/>
      <c r="M432" s="523"/>
      <c r="N432" s="562"/>
      <c r="O432" s="569"/>
      <c r="P432" s="523"/>
      <c r="Q432" s="564"/>
      <c r="R432" s="570"/>
      <c r="S432" s="565"/>
      <c r="T432" s="523"/>
      <c r="U432" s="570"/>
      <c r="V432" s="588"/>
      <c r="W432" s="589"/>
      <c r="X432" s="18"/>
    </row>
    <row r="433" spans="2:27" ht="20.100000000000001" customHeight="1">
      <c r="B433" s="558" t="s">
        <v>329</v>
      </c>
      <c r="C433" s="559"/>
      <c r="D433" s="559"/>
      <c r="E433" s="559"/>
      <c r="F433" s="559"/>
      <c r="G433" s="559"/>
      <c r="H433" s="559"/>
      <c r="K433" s="611"/>
      <c r="L433" s="612"/>
      <c r="M433" s="523"/>
      <c r="N433" s="562"/>
      <c r="O433" s="613">
        <f>IFERROR(O423/L423,0)</f>
        <v>0.28755954501910647</v>
      </c>
      <c r="P433" s="523"/>
      <c r="Q433" s="564"/>
      <c r="R433" s="613">
        <f>IFERROR(R423/L423,0)</f>
        <v>0.18698039174120384</v>
      </c>
      <c r="S433" s="565"/>
      <c r="T433" s="523"/>
      <c r="U433" s="613"/>
      <c r="V433" s="1006"/>
      <c r="W433" s="1007"/>
      <c r="X433" s="18"/>
      <c r="AA433" s="605">
        <v>0.41830000000000001</v>
      </c>
    </row>
    <row r="434" spans="2:27" ht="8.25" customHeight="1" thickBot="1">
      <c r="B434" s="558"/>
      <c r="C434" s="559"/>
      <c r="D434" s="559"/>
      <c r="E434" s="559"/>
      <c r="F434" s="559"/>
      <c r="G434" s="559"/>
      <c r="H434" s="559"/>
      <c r="K434" s="560"/>
      <c r="L434" s="610"/>
      <c r="M434" s="523"/>
      <c r="N434" s="562"/>
      <c r="O434" s="569"/>
      <c r="P434" s="523"/>
      <c r="Q434" s="564"/>
      <c r="R434" s="570"/>
      <c r="S434" s="565"/>
      <c r="T434" s="523"/>
      <c r="U434" s="570"/>
      <c r="V434" s="588"/>
      <c r="W434" s="589"/>
      <c r="X434" s="18"/>
    </row>
    <row r="435" spans="2:27" ht="20.100000000000001" customHeight="1" thickBot="1">
      <c r="B435" s="558" t="s">
        <v>330</v>
      </c>
      <c r="C435" s="559"/>
      <c r="D435" s="559"/>
      <c r="E435" s="559"/>
      <c r="F435" s="559"/>
      <c r="G435" s="559"/>
      <c r="H435" s="559"/>
      <c r="K435" s="560"/>
      <c r="L435" s="614">
        <f>O435</f>
        <v>326047724</v>
      </c>
      <c r="M435" s="523"/>
      <c r="N435" s="562"/>
      <c r="O435" s="615">
        <f>O431</f>
        <v>326047724</v>
      </c>
      <c r="P435" s="523"/>
      <c r="Q435" s="564"/>
      <c r="R435" s="615">
        <f>R431</f>
        <v>212006634</v>
      </c>
      <c r="S435" s="565"/>
      <c r="T435" s="523"/>
      <c r="U435" s="616">
        <f>+R435+O435</f>
        <v>538054358</v>
      </c>
      <c r="V435" s="994"/>
      <c r="W435" s="995"/>
      <c r="X435" s="18"/>
      <c r="AA435" s="605">
        <f>+U433-AA433</f>
        <v>-0.41830000000000001</v>
      </c>
    </row>
    <row r="436" spans="2:27" ht="9" customHeight="1">
      <c r="B436" s="617"/>
      <c r="C436" s="618"/>
      <c r="D436" s="619"/>
      <c r="E436" s="619"/>
      <c r="F436" s="619"/>
      <c r="G436" s="619"/>
      <c r="H436" s="618"/>
      <c r="I436" s="620"/>
      <c r="J436" s="621"/>
      <c r="K436" s="622"/>
      <c r="L436" s="623"/>
      <c r="M436" s="624"/>
      <c r="N436" s="625"/>
      <c r="O436" s="626"/>
      <c r="P436" s="624"/>
      <c r="Q436" s="627"/>
      <c r="R436" s="628"/>
      <c r="S436" s="629"/>
      <c r="T436" s="132"/>
      <c r="U436" s="630"/>
      <c r="V436" s="631"/>
      <c r="W436" s="632"/>
      <c r="X436" s="18"/>
    </row>
    <row r="437" spans="2:27" ht="8.1" customHeight="1" thickBot="1">
      <c r="B437" s="558"/>
      <c r="C437" s="633"/>
      <c r="D437" s="633"/>
      <c r="E437" s="633"/>
      <c r="F437" s="633"/>
      <c r="G437" s="633"/>
      <c r="H437" s="633"/>
      <c r="K437" s="560"/>
      <c r="L437" s="634"/>
      <c r="M437" s="633"/>
      <c r="N437" s="635"/>
      <c r="O437" s="636"/>
      <c r="P437" s="633"/>
      <c r="Q437" s="637"/>
      <c r="R437" s="633"/>
      <c r="S437" s="633"/>
      <c r="T437" s="633"/>
      <c r="U437" s="636"/>
      <c r="V437" s="567"/>
      <c r="W437" s="567"/>
      <c r="X437" s="18"/>
    </row>
    <row r="438" spans="2:27" s="642" customFormat="1" ht="35.25" customHeight="1" thickBot="1">
      <c r="B438" s="1008" t="s">
        <v>331</v>
      </c>
      <c r="C438" s="1009"/>
      <c r="D438" s="1010">
        <f>U435</f>
        <v>538054358</v>
      </c>
      <c r="E438" s="1011"/>
      <c r="F438" s="638"/>
      <c r="G438" s="638"/>
      <c r="H438" s="1008" t="s">
        <v>332</v>
      </c>
      <c r="I438" s="1012"/>
      <c r="J438" s="1012"/>
      <c r="K438" s="1009"/>
      <c r="L438" s="639"/>
      <c r="M438" s="41"/>
      <c r="N438" s="1013" t="s">
        <v>62</v>
      </c>
      <c r="O438" s="1014"/>
      <c r="P438" s="76"/>
      <c r="Q438" s="1015" t="s">
        <v>63</v>
      </c>
      <c r="R438" s="1016"/>
      <c r="S438" s="640"/>
      <c r="T438" s="1015" t="s">
        <v>64</v>
      </c>
      <c r="U438" s="1017"/>
      <c r="V438" s="1017"/>
      <c r="W438" s="1016"/>
      <c r="X438" s="641"/>
    </row>
    <row r="439" spans="2:27" ht="10.5" customHeight="1">
      <c r="B439" s="142"/>
      <c r="C439" s="111"/>
      <c r="D439" s="111"/>
      <c r="E439" s="111"/>
      <c r="F439" s="111"/>
      <c r="G439" s="111"/>
      <c r="H439" s="111"/>
      <c r="K439" s="560"/>
      <c r="L439" s="111"/>
      <c r="M439" s="111"/>
      <c r="N439" s="146"/>
      <c r="O439" s="145"/>
      <c r="P439" s="111"/>
      <c r="Q439" s="147"/>
      <c r="R439" s="111"/>
      <c r="S439" s="111"/>
      <c r="T439" s="111"/>
      <c r="U439" s="145"/>
      <c r="V439" s="112"/>
      <c r="W439" s="112"/>
      <c r="X439" s="18"/>
    </row>
    <row r="440" spans="2:27" ht="12.75">
      <c r="B440" s="643"/>
      <c r="C440" s="644"/>
      <c r="D440" s="644"/>
      <c r="E440" s="644"/>
      <c r="F440" s="644"/>
      <c r="G440" s="644"/>
      <c r="H440" s="644"/>
      <c r="I440" s="10"/>
      <c r="J440" s="11"/>
      <c r="K440" s="12"/>
      <c r="L440" s="644"/>
      <c r="M440" s="645"/>
      <c r="N440" s="646"/>
      <c r="O440" s="647"/>
      <c r="P440" s="645"/>
      <c r="Q440" s="648"/>
      <c r="R440" s="645"/>
      <c r="S440" s="645"/>
      <c r="T440" s="645"/>
      <c r="U440" s="647"/>
      <c r="V440" s="649"/>
      <c r="W440" s="650"/>
      <c r="X440" s="18"/>
    </row>
    <row r="441" spans="2:27" ht="12.75">
      <c r="B441" s="558"/>
      <c r="C441" s="633"/>
      <c r="D441" s="998"/>
      <c r="E441" s="998"/>
      <c r="F441" s="998"/>
      <c r="G441" s="998"/>
      <c r="H441" s="998"/>
      <c r="K441" s="560"/>
      <c r="L441" s="633"/>
      <c r="M441" s="624"/>
      <c r="N441" s="651"/>
      <c r="O441" s="652"/>
      <c r="P441" s="624"/>
      <c r="Q441" s="653"/>
      <c r="R441" s="624"/>
      <c r="S441" s="624"/>
      <c r="T441" s="624"/>
      <c r="U441" s="652"/>
      <c r="V441" s="567"/>
      <c r="W441" s="654"/>
      <c r="X441" s="18"/>
    </row>
    <row r="442" spans="2:27" s="150" customFormat="1" ht="12.75">
      <c r="B442" s="456"/>
      <c r="C442" s="457"/>
      <c r="D442" s="457"/>
      <c r="E442" s="457"/>
      <c r="F442" s="457"/>
      <c r="G442" s="457"/>
      <c r="H442" s="457"/>
      <c r="I442" s="655"/>
      <c r="J442" s="656"/>
      <c r="K442" s="657"/>
      <c r="L442" s="457"/>
      <c r="M442" s="455"/>
      <c r="N442" s="487"/>
      <c r="O442" s="461"/>
      <c r="P442" s="455"/>
      <c r="Q442" s="462"/>
      <c r="R442" s="455"/>
      <c r="S442" s="455"/>
      <c r="T442" s="455"/>
      <c r="U442" s="461"/>
      <c r="V442" s="658"/>
      <c r="W442" s="659"/>
      <c r="X442" s="149"/>
    </row>
    <row r="443" spans="2:27" s="150" customFormat="1" ht="12.75">
      <c r="B443" s="456"/>
      <c r="C443" s="457"/>
      <c r="D443" s="457"/>
      <c r="E443" s="457"/>
      <c r="F443" s="457"/>
      <c r="G443" s="457"/>
      <c r="H443" s="457"/>
      <c r="I443" s="655"/>
      <c r="J443" s="656"/>
      <c r="K443" s="657"/>
      <c r="L443" s="457"/>
      <c r="M443" s="455"/>
      <c r="N443" s="487"/>
      <c r="O443" s="461"/>
      <c r="P443" s="455"/>
      <c r="Q443" s="462"/>
      <c r="R443" s="455"/>
      <c r="S443" s="455"/>
      <c r="T443" s="455"/>
      <c r="U443" s="461"/>
      <c r="V443" s="658"/>
      <c r="W443" s="659"/>
      <c r="X443" s="149"/>
    </row>
    <row r="444" spans="2:27" s="150" customFormat="1" ht="9" customHeight="1">
      <c r="B444" s="456"/>
      <c r="C444" s="457"/>
      <c r="D444" s="457"/>
      <c r="E444" s="457"/>
      <c r="F444" s="457"/>
      <c r="G444" s="457"/>
      <c r="H444" s="457"/>
      <c r="I444" s="655"/>
      <c r="J444" s="656"/>
      <c r="K444" s="455"/>
      <c r="L444" s="455"/>
      <c r="M444" s="455"/>
      <c r="N444" s="455"/>
      <c r="O444" s="660"/>
      <c r="P444" s="455"/>
      <c r="Q444" s="462"/>
      <c r="R444" s="455"/>
      <c r="S444" s="455"/>
      <c r="T444" s="455"/>
      <c r="U444" s="455"/>
      <c r="V444" s="658"/>
      <c r="W444" s="659"/>
      <c r="X444" s="149"/>
    </row>
    <row r="445" spans="2:27" s="150" customFormat="1" ht="77.25" customHeight="1">
      <c r="B445" s="456"/>
      <c r="C445" s="999"/>
      <c r="D445" s="1000"/>
      <c r="E445" s="1000"/>
      <c r="F445" s="1001"/>
      <c r="G445" s="457"/>
      <c r="H445" s="457"/>
      <c r="I445" s="655"/>
      <c r="J445" s="656"/>
      <c r="K445" s="999"/>
      <c r="L445" s="1000"/>
      <c r="M445" s="1000"/>
      <c r="N445" s="1001"/>
      <c r="O445" s="487"/>
      <c r="P445" s="455"/>
      <c r="Q445" s="462"/>
      <c r="R445" s="455"/>
      <c r="S445" s="455"/>
      <c r="T445" s="455"/>
      <c r="U445" s="455"/>
      <c r="V445" s="658"/>
      <c r="W445" s="659"/>
      <c r="X445" s="149"/>
    </row>
    <row r="446" spans="2:27" s="150" customFormat="1" ht="5.25" customHeight="1">
      <c r="B446" s="456"/>
      <c r="C446" s="1002"/>
      <c r="D446" s="1002"/>
      <c r="E446" s="1002"/>
      <c r="F446" s="1002"/>
      <c r="G446" s="658"/>
      <c r="I446" s="661"/>
      <c r="J446" s="154"/>
      <c r="K446" s="1002"/>
      <c r="L446" s="1002"/>
      <c r="M446" s="1002"/>
      <c r="N446" s="1002"/>
      <c r="O446" s="662"/>
      <c r="P446" s="455"/>
      <c r="Q446" s="663"/>
      <c r="R446" s="1003"/>
      <c r="S446" s="1003"/>
      <c r="T446" s="1003"/>
      <c r="U446" s="1003"/>
      <c r="V446" s="658"/>
      <c r="W446" s="659"/>
      <c r="X446" s="149"/>
    </row>
    <row r="447" spans="2:27" s="150" customFormat="1" ht="2.25" customHeight="1">
      <c r="B447" s="456"/>
      <c r="C447" s="1003"/>
      <c r="D447" s="1003"/>
      <c r="E447" s="1003"/>
      <c r="F447" s="1003"/>
      <c r="G447" s="658"/>
      <c r="I447" s="661"/>
      <c r="J447" s="154"/>
      <c r="K447" s="1020"/>
      <c r="L447" s="1020"/>
      <c r="M447" s="1020"/>
      <c r="N447" s="1020"/>
      <c r="O447" s="664"/>
      <c r="P447" s="664"/>
      <c r="Q447" s="663"/>
      <c r="R447" s="1020"/>
      <c r="S447" s="1020"/>
      <c r="T447" s="1020"/>
      <c r="U447" s="1020"/>
      <c r="V447" s="665"/>
      <c r="W447" s="666"/>
      <c r="X447" s="149"/>
    </row>
    <row r="448" spans="2:27" s="150" customFormat="1" ht="18.75" customHeight="1">
      <c r="B448" s="667"/>
      <c r="C448" s="1021" t="s">
        <v>333</v>
      </c>
      <c r="D448" s="1021"/>
      <c r="E448" s="1021"/>
      <c r="F448" s="1021"/>
      <c r="G448" s="262"/>
      <c r="I448" s="661"/>
      <c r="J448" s="154"/>
      <c r="K448" s="1021" t="s">
        <v>334</v>
      </c>
      <c r="L448" s="1021"/>
      <c r="M448" s="1021"/>
      <c r="N448" s="1021"/>
      <c r="O448" s="664"/>
      <c r="Q448" s="663"/>
      <c r="R448" s="664"/>
      <c r="S448" s="664"/>
      <c r="T448" s="664"/>
      <c r="U448" s="664"/>
      <c r="V448" s="665"/>
      <c r="W448" s="666"/>
      <c r="X448" s="149"/>
    </row>
    <row r="449" spans="1:26" s="668" customFormat="1" ht="15.75" customHeight="1">
      <c r="A449" s="150"/>
      <c r="B449" s="456"/>
      <c r="C449" s="1022" t="s">
        <v>335</v>
      </c>
      <c r="D449" s="1022"/>
      <c r="E449" s="1022"/>
      <c r="F449" s="1022"/>
      <c r="G449" s="262"/>
      <c r="H449" s="150"/>
      <c r="I449" s="661"/>
      <c r="J449" s="154"/>
      <c r="K449" s="1022" t="s">
        <v>336</v>
      </c>
      <c r="L449" s="1022"/>
      <c r="M449" s="1022"/>
      <c r="N449" s="1022"/>
      <c r="O449" s="664"/>
      <c r="P449" s="150"/>
      <c r="Q449" s="663"/>
      <c r="R449" s="664"/>
      <c r="S449" s="664"/>
      <c r="T449" s="664"/>
      <c r="U449" s="664"/>
      <c r="V449" s="665"/>
      <c r="W449" s="666"/>
      <c r="X449" s="149"/>
      <c r="Y449" s="150"/>
      <c r="Z449" s="150"/>
    </row>
    <row r="450" spans="1:26" s="544" customFormat="1" ht="12.75">
      <c r="A450" s="4"/>
      <c r="B450" s="558"/>
      <c r="C450" s="1018" t="s">
        <v>337</v>
      </c>
      <c r="D450" s="1018"/>
      <c r="E450" s="1018"/>
      <c r="F450" s="1018"/>
      <c r="G450" s="669"/>
      <c r="H450" s="4"/>
      <c r="I450" s="582"/>
      <c r="J450" s="583"/>
      <c r="K450" s="1019" t="s">
        <v>338</v>
      </c>
      <c r="L450" s="1019"/>
      <c r="M450" s="1019"/>
      <c r="N450" s="1019"/>
      <c r="O450" s="584"/>
      <c r="P450" s="4"/>
      <c r="Q450" s="30"/>
      <c r="R450" s="584"/>
      <c r="S450" s="584"/>
      <c r="T450" s="584"/>
      <c r="U450" s="584"/>
      <c r="V450" s="670"/>
      <c r="W450" s="671"/>
      <c r="X450" s="18"/>
      <c r="Y450" s="4"/>
      <c r="Z450" s="4"/>
    </row>
    <row r="451" spans="1:26">
      <c r="B451" s="672"/>
      <c r="C451" s="673"/>
      <c r="D451" s="673"/>
      <c r="E451" s="673"/>
      <c r="F451" s="673"/>
      <c r="G451" s="673"/>
      <c r="H451" s="673"/>
      <c r="I451" s="620"/>
      <c r="J451" s="621"/>
      <c r="K451" s="622"/>
      <c r="L451" s="673"/>
      <c r="M451" s="673"/>
      <c r="N451" s="674"/>
      <c r="O451" s="622"/>
      <c r="P451" s="673"/>
      <c r="Q451" s="675"/>
      <c r="R451" s="673"/>
      <c r="S451" s="673"/>
      <c r="T451" s="673"/>
      <c r="U451" s="622"/>
      <c r="V451" s="676"/>
      <c r="W451" s="677"/>
      <c r="X451" s="678"/>
    </row>
    <row r="452" spans="1:26" s="544" customFormat="1" ht="27" customHeight="1">
      <c r="A452" s="4"/>
      <c r="B452" s="4"/>
      <c r="C452" s="4"/>
      <c r="D452" s="4"/>
      <c r="E452" s="4"/>
      <c r="F452" s="4"/>
      <c r="G452" s="4"/>
      <c r="H452" s="4"/>
      <c r="I452" s="541"/>
      <c r="J452" s="542"/>
      <c r="K452" s="679"/>
      <c r="L452" s="4"/>
      <c r="M452" s="4"/>
      <c r="N452" s="4"/>
      <c r="O452" s="679"/>
      <c r="P452" s="4"/>
      <c r="Q452" s="545"/>
      <c r="R452" s="4"/>
      <c r="S452" s="4"/>
      <c r="T452" s="4"/>
      <c r="U452" s="679"/>
      <c r="V452" s="546"/>
      <c r="W452" s="546"/>
      <c r="Y452" s="4"/>
      <c r="Z452" s="4"/>
    </row>
    <row r="453" spans="1:26" s="544" customFormat="1" ht="19.5" customHeight="1">
      <c r="A453" s="4"/>
      <c r="B453" s="4"/>
      <c r="C453" s="4"/>
      <c r="D453" s="4"/>
      <c r="E453" s="4"/>
      <c r="F453" s="4"/>
      <c r="G453" s="4"/>
      <c r="H453" s="4"/>
      <c r="I453" s="541"/>
      <c r="J453" s="542"/>
      <c r="K453" s="679"/>
      <c r="L453" s="4"/>
      <c r="M453" s="4"/>
      <c r="N453" s="680"/>
      <c r="O453" s="679"/>
      <c r="P453" s="4"/>
      <c r="Q453" s="545"/>
      <c r="R453" s="4"/>
      <c r="S453" s="4"/>
      <c r="T453" s="4"/>
      <c r="U453" s="679"/>
      <c r="V453" s="546"/>
      <c r="W453" s="546"/>
      <c r="Y453" s="4"/>
      <c r="Z453" s="4"/>
    </row>
  </sheetData>
  <protectedRanges>
    <protectedRange sqref="B48:E48 H48:K48" name="Rango5_1"/>
    <protectedRange sqref="T42:U46" name="Rango9_1"/>
    <protectedRange sqref="J21 J14:J15 J17:J19 D34:I41" name="Rango4_3"/>
    <protectedRange sqref="L13" name="Rango7_1"/>
    <protectedRange sqref="M21:N21 M39:N41 M24:N30" name="Rango8_1"/>
    <protectedRange sqref="T18:U22 T24:U27" name="Rango9_1_1"/>
    <protectedRange sqref="H10" name="Rango6_2_1"/>
    <protectedRange sqref="M22:N22" name="Rango8_1_1"/>
    <protectedRange sqref="N379 N396:N397 N377" name="Rango10_2_1"/>
    <protectedRange sqref="P434:Q434 P432:Q432 O425:R425 U425 U427" name="Rango16_1_2"/>
    <protectedRange sqref="O419:R419" name="Rango15_1_2"/>
    <protectedRange sqref="B444:B446 V444:W446 B440:W443" name="Rango14_1_2"/>
    <protectedRange sqref="B447:B450 V447:W450" name="Rango14_3"/>
    <protectedRange sqref="O407:R407 O411:R411 O409:R409" name="Rango15_1_2_1"/>
    <protectedRange sqref="D16:I17 F15:I15 D13:I14 D19:I23 E18:I18 D25:I25 F24:I24 E26:I30 D31:I33" name="Rango4_3_1"/>
    <protectedRange sqref="E10" name="Rango3_2_1_1"/>
    <protectedRange sqref="D15:E15 D24:E24" name="Rango4_1_1_1"/>
    <protectedRange sqref="D18 D26:D30" name="Rango4_2_1_1"/>
    <protectedRange sqref="C444:U445" name="Rango14_1_2_1"/>
    <protectedRange sqref="G448:J450 C446:U447 O448:U450" name="Rango14_3_1"/>
    <protectedRange sqref="E449 F448:F450 C448:E448 C450:E450" name="Rango14_3_1_1"/>
    <protectedRange sqref="K448:N450" name="Rango14_3_1_2"/>
    <protectedRange sqref="T30:U31 T34:U35 T38:U41" name="Rango9_1_1_2"/>
  </protectedRanges>
  <mergeCells count="733">
    <mergeCell ref="C450:F450"/>
    <mergeCell ref="K450:N450"/>
    <mergeCell ref="C447:F447"/>
    <mergeCell ref="K447:N447"/>
    <mergeCell ref="R447:U447"/>
    <mergeCell ref="C448:F448"/>
    <mergeCell ref="K448:N448"/>
    <mergeCell ref="C449:F449"/>
    <mergeCell ref="K449:N449"/>
    <mergeCell ref="D441:H441"/>
    <mergeCell ref="C445:F445"/>
    <mergeCell ref="K445:N445"/>
    <mergeCell ref="C446:F446"/>
    <mergeCell ref="K446:N446"/>
    <mergeCell ref="R446:U446"/>
    <mergeCell ref="V429:W429"/>
    <mergeCell ref="V431:W431"/>
    <mergeCell ref="V433:W433"/>
    <mergeCell ref="V435:W435"/>
    <mergeCell ref="B438:C438"/>
    <mergeCell ref="D438:E438"/>
    <mergeCell ref="H438:K438"/>
    <mergeCell ref="N438:O438"/>
    <mergeCell ref="Q438:R438"/>
    <mergeCell ref="T438:W438"/>
    <mergeCell ref="V417:W417"/>
    <mergeCell ref="V419:W419"/>
    <mergeCell ref="V421:W421"/>
    <mergeCell ref="V423:W423"/>
    <mergeCell ref="V425:W425"/>
    <mergeCell ref="V427:W427"/>
    <mergeCell ref="V405:W405"/>
    <mergeCell ref="V407:W407"/>
    <mergeCell ref="V409:W409"/>
    <mergeCell ref="V411:W411"/>
    <mergeCell ref="V413:W413"/>
    <mergeCell ref="V415:W415"/>
    <mergeCell ref="C398:H398"/>
    <mergeCell ref="V398:W398"/>
    <mergeCell ref="C399:H399"/>
    <mergeCell ref="V399:W399"/>
    <mergeCell ref="B400:K400"/>
    <mergeCell ref="V400:W400"/>
    <mergeCell ref="C395:H395"/>
    <mergeCell ref="V395:W395"/>
    <mergeCell ref="C396:H396"/>
    <mergeCell ref="V396:W396"/>
    <mergeCell ref="C397:H397"/>
    <mergeCell ref="V397:W397"/>
    <mergeCell ref="C392:H392"/>
    <mergeCell ref="V392:W392"/>
    <mergeCell ref="C393:H393"/>
    <mergeCell ref="V393:W393"/>
    <mergeCell ref="C394:H394"/>
    <mergeCell ref="V394:W394"/>
    <mergeCell ref="C381:H381"/>
    <mergeCell ref="V381:W381"/>
    <mergeCell ref="V383:W383"/>
    <mergeCell ref="B388:L388"/>
    <mergeCell ref="N388:W388"/>
    <mergeCell ref="C391:H391"/>
    <mergeCell ref="V391:W391"/>
    <mergeCell ref="C378:H378"/>
    <mergeCell ref="V378:W378"/>
    <mergeCell ref="C379:H379"/>
    <mergeCell ref="V379:W379"/>
    <mergeCell ref="C380:H380"/>
    <mergeCell ref="V380:W380"/>
    <mergeCell ref="C375:H375"/>
    <mergeCell ref="V375:W375"/>
    <mergeCell ref="C376:H376"/>
    <mergeCell ref="V376:W376"/>
    <mergeCell ref="C377:H377"/>
    <mergeCell ref="V377:W377"/>
    <mergeCell ref="C372:H372"/>
    <mergeCell ref="V372:W372"/>
    <mergeCell ref="C373:H373"/>
    <mergeCell ref="V373:W373"/>
    <mergeCell ref="C374:H374"/>
    <mergeCell ref="V374:W374"/>
    <mergeCell ref="B366:E366"/>
    <mergeCell ref="V366:W366"/>
    <mergeCell ref="B367:E367"/>
    <mergeCell ref="V367:W367"/>
    <mergeCell ref="B369:L369"/>
    <mergeCell ref="N369:W369"/>
    <mergeCell ref="C361:H361"/>
    <mergeCell ref="V361:W361"/>
    <mergeCell ref="C362:H362"/>
    <mergeCell ref="V362:W362"/>
    <mergeCell ref="V363:W363"/>
    <mergeCell ref="B365:E365"/>
    <mergeCell ref="V365:W365"/>
    <mergeCell ref="C358:H358"/>
    <mergeCell ref="V358:W358"/>
    <mergeCell ref="C359:H359"/>
    <mergeCell ref="V359:W359"/>
    <mergeCell ref="C360:H360"/>
    <mergeCell ref="V360:W360"/>
    <mergeCell ref="C355:H355"/>
    <mergeCell ref="V355:W355"/>
    <mergeCell ref="C356:H356"/>
    <mergeCell ref="V356:W356"/>
    <mergeCell ref="C357:H357"/>
    <mergeCell ref="V357:W357"/>
    <mergeCell ref="C352:H352"/>
    <mergeCell ref="V352:W352"/>
    <mergeCell ref="C353:H353"/>
    <mergeCell ref="V353:W353"/>
    <mergeCell ref="C354:H354"/>
    <mergeCell ref="V354:W354"/>
    <mergeCell ref="C349:H349"/>
    <mergeCell ref="V349:W349"/>
    <mergeCell ref="C350:H350"/>
    <mergeCell ref="V350:W350"/>
    <mergeCell ref="C351:H351"/>
    <mergeCell ref="V351:W351"/>
    <mergeCell ref="C346:H346"/>
    <mergeCell ref="V346:W346"/>
    <mergeCell ref="C347:H347"/>
    <mergeCell ref="V347:W347"/>
    <mergeCell ref="C348:H348"/>
    <mergeCell ref="V348:W348"/>
    <mergeCell ref="C343:H343"/>
    <mergeCell ref="V343:W343"/>
    <mergeCell ref="C344:H344"/>
    <mergeCell ref="V344:W344"/>
    <mergeCell ref="C345:H345"/>
    <mergeCell ref="V345:W345"/>
    <mergeCell ref="C340:H340"/>
    <mergeCell ref="V340:W340"/>
    <mergeCell ref="C341:H341"/>
    <mergeCell ref="V341:W341"/>
    <mergeCell ref="C342:H342"/>
    <mergeCell ref="V342:W342"/>
    <mergeCell ref="C337:H337"/>
    <mergeCell ref="V337:W337"/>
    <mergeCell ref="C338:H338"/>
    <mergeCell ref="V338:W338"/>
    <mergeCell ref="C339:H339"/>
    <mergeCell ref="V339:W339"/>
    <mergeCell ref="C334:H334"/>
    <mergeCell ref="V334:W334"/>
    <mergeCell ref="C335:H335"/>
    <mergeCell ref="V335:W335"/>
    <mergeCell ref="C336:H336"/>
    <mergeCell ref="V336:W336"/>
    <mergeCell ref="C331:H331"/>
    <mergeCell ref="V331:W331"/>
    <mergeCell ref="C332:H332"/>
    <mergeCell ref="V332:W332"/>
    <mergeCell ref="C333:H333"/>
    <mergeCell ref="V333:W333"/>
    <mergeCell ref="C328:H328"/>
    <mergeCell ref="V328:W328"/>
    <mergeCell ref="C329:H329"/>
    <mergeCell ref="V329:W329"/>
    <mergeCell ref="C330:H330"/>
    <mergeCell ref="V330:W330"/>
    <mergeCell ref="C325:H325"/>
    <mergeCell ref="V325:W325"/>
    <mergeCell ref="C326:H326"/>
    <mergeCell ref="V326:W326"/>
    <mergeCell ref="C327:H327"/>
    <mergeCell ref="V327:W327"/>
    <mergeCell ref="C322:H322"/>
    <mergeCell ref="V322:W322"/>
    <mergeCell ref="C323:H323"/>
    <mergeCell ref="V323:W323"/>
    <mergeCell ref="C324:H324"/>
    <mergeCell ref="V324:W324"/>
    <mergeCell ref="C319:H319"/>
    <mergeCell ref="V319:W319"/>
    <mergeCell ref="C320:H320"/>
    <mergeCell ref="V320:W320"/>
    <mergeCell ref="C321:H321"/>
    <mergeCell ref="V321:W321"/>
    <mergeCell ref="C316:H316"/>
    <mergeCell ref="V316:W316"/>
    <mergeCell ref="C317:H317"/>
    <mergeCell ref="V317:W317"/>
    <mergeCell ref="C318:H318"/>
    <mergeCell ref="V318:W318"/>
    <mergeCell ref="C313:H313"/>
    <mergeCell ref="V313:W313"/>
    <mergeCell ref="C314:H314"/>
    <mergeCell ref="V314:W314"/>
    <mergeCell ref="C315:H315"/>
    <mergeCell ref="V315:W315"/>
    <mergeCell ref="C310:H310"/>
    <mergeCell ref="V310:W310"/>
    <mergeCell ref="C311:H311"/>
    <mergeCell ref="V311:W311"/>
    <mergeCell ref="C312:H312"/>
    <mergeCell ref="V312:W312"/>
    <mergeCell ref="C307:H307"/>
    <mergeCell ref="V307:W307"/>
    <mergeCell ref="C308:H308"/>
    <mergeCell ref="V308:W308"/>
    <mergeCell ref="C309:H309"/>
    <mergeCell ref="V309:W309"/>
    <mergeCell ref="C304:H304"/>
    <mergeCell ref="V304:W304"/>
    <mergeCell ref="C305:H305"/>
    <mergeCell ref="V305:W305"/>
    <mergeCell ref="C306:H306"/>
    <mergeCell ref="V306:W306"/>
    <mergeCell ref="C301:H301"/>
    <mergeCell ref="V301:W301"/>
    <mergeCell ref="C302:H302"/>
    <mergeCell ref="V302:W302"/>
    <mergeCell ref="C303:H303"/>
    <mergeCell ref="V303:W303"/>
    <mergeCell ref="C298:H298"/>
    <mergeCell ref="V298:W298"/>
    <mergeCell ref="C299:H299"/>
    <mergeCell ref="V299:W299"/>
    <mergeCell ref="C300:H300"/>
    <mergeCell ref="V300:W300"/>
    <mergeCell ref="C295:H295"/>
    <mergeCell ref="V295:W295"/>
    <mergeCell ref="C296:H296"/>
    <mergeCell ref="V296:W296"/>
    <mergeCell ref="C297:H297"/>
    <mergeCell ref="V297:W297"/>
    <mergeCell ref="C292:H292"/>
    <mergeCell ref="V292:W292"/>
    <mergeCell ref="C293:H293"/>
    <mergeCell ref="V293:W293"/>
    <mergeCell ref="C294:H294"/>
    <mergeCell ref="V294:W294"/>
    <mergeCell ref="C288:H288"/>
    <mergeCell ref="C289:H289"/>
    <mergeCell ref="V289:W289"/>
    <mergeCell ref="C290:H290"/>
    <mergeCell ref="C291:H291"/>
    <mergeCell ref="V291:W291"/>
    <mergeCell ref="C285:H285"/>
    <mergeCell ref="V285:W285"/>
    <mergeCell ref="C286:H286"/>
    <mergeCell ref="V286:W286"/>
    <mergeCell ref="C287:H287"/>
    <mergeCell ref="V287:W287"/>
    <mergeCell ref="C282:H282"/>
    <mergeCell ref="V282:W282"/>
    <mergeCell ref="C283:H283"/>
    <mergeCell ref="V283:W283"/>
    <mergeCell ref="C284:H284"/>
    <mergeCell ref="V284:W284"/>
    <mergeCell ref="V277:W277"/>
    <mergeCell ref="C280:L280"/>
    <mergeCell ref="N280:O280"/>
    <mergeCell ref="Q280:R280"/>
    <mergeCell ref="T280:W280"/>
    <mergeCell ref="C281:H281"/>
    <mergeCell ref="C274:H274"/>
    <mergeCell ref="V274:W274"/>
    <mergeCell ref="C275:H275"/>
    <mergeCell ref="V275:W275"/>
    <mergeCell ref="C276:H276"/>
    <mergeCell ref="V276:W276"/>
    <mergeCell ref="C271:H271"/>
    <mergeCell ref="V271:W271"/>
    <mergeCell ref="C272:H272"/>
    <mergeCell ref="V272:W272"/>
    <mergeCell ref="C273:H273"/>
    <mergeCell ref="V273:W273"/>
    <mergeCell ref="C268:H268"/>
    <mergeCell ref="V268:W268"/>
    <mergeCell ref="C269:H269"/>
    <mergeCell ref="V269:W269"/>
    <mergeCell ref="C270:H270"/>
    <mergeCell ref="V270:W270"/>
    <mergeCell ref="C265:H265"/>
    <mergeCell ref="V265:W265"/>
    <mergeCell ref="C266:H266"/>
    <mergeCell ref="V266:W266"/>
    <mergeCell ref="C267:H267"/>
    <mergeCell ref="V267:W267"/>
    <mergeCell ref="C262:H262"/>
    <mergeCell ref="V262:W262"/>
    <mergeCell ref="C263:H263"/>
    <mergeCell ref="V263:W263"/>
    <mergeCell ref="C264:H264"/>
    <mergeCell ref="V264:W264"/>
    <mergeCell ref="C259:H259"/>
    <mergeCell ref="V259:W259"/>
    <mergeCell ref="C260:H260"/>
    <mergeCell ref="V260:W260"/>
    <mergeCell ref="C261:H261"/>
    <mergeCell ref="V261:W261"/>
    <mergeCell ref="C256:H256"/>
    <mergeCell ref="V256:W256"/>
    <mergeCell ref="C257:H257"/>
    <mergeCell ref="V257:W257"/>
    <mergeCell ref="C258:H258"/>
    <mergeCell ref="V258:W258"/>
    <mergeCell ref="C253:H253"/>
    <mergeCell ref="V253:W253"/>
    <mergeCell ref="C254:H254"/>
    <mergeCell ref="V254:W254"/>
    <mergeCell ref="C255:H255"/>
    <mergeCell ref="V255:W255"/>
    <mergeCell ref="C250:H250"/>
    <mergeCell ref="V250:W250"/>
    <mergeCell ref="C251:H251"/>
    <mergeCell ref="V251:W251"/>
    <mergeCell ref="C252:H252"/>
    <mergeCell ref="V252:W252"/>
    <mergeCell ref="C247:H247"/>
    <mergeCell ref="V247:W247"/>
    <mergeCell ref="C248:H248"/>
    <mergeCell ref="V248:W248"/>
    <mergeCell ref="C249:H249"/>
    <mergeCell ref="V249:W249"/>
    <mergeCell ref="C244:H244"/>
    <mergeCell ref="V244:W244"/>
    <mergeCell ref="C245:H245"/>
    <mergeCell ref="V245:W245"/>
    <mergeCell ref="C246:H246"/>
    <mergeCell ref="V246:W246"/>
    <mergeCell ref="C241:H241"/>
    <mergeCell ref="V241:W241"/>
    <mergeCell ref="C242:H242"/>
    <mergeCell ref="V242:W242"/>
    <mergeCell ref="C243:H243"/>
    <mergeCell ref="V243:W243"/>
    <mergeCell ref="C238:H238"/>
    <mergeCell ref="V238:W238"/>
    <mergeCell ref="C239:H239"/>
    <mergeCell ref="V239:W239"/>
    <mergeCell ref="C240:H240"/>
    <mergeCell ref="V240:W240"/>
    <mergeCell ref="C235:H235"/>
    <mergeCell ref="V235:W235"/>
    <mergeCell ref="C236:H236"/>
    <mergeCell ref="V236:W236"/>
    <mergeCell ref="C237:H237"/>
    <mergeCell ref="V237:W237"/>
    <mergeCell ref="C232:H232"/>
    <mergeCell ref="V232:W232"/>
    <mergeCell ref="C233:H233"/>
    <mergeCell ref="V233:W233"/>
    <mergeCell ref="C234:H234"/>
    <mergeCell ref="V234:W234"/>
    <mergeCell ref="C229:H229"/>
    <mergeCell ref="V229:W229"/>
    <mergeCell ref="C230:H230"/>
    <mergeCell ref="V230:W230"/>
    <mergeCell ref="C231:H231"/>
    <mergeCell ref="V231:W231"/>
    <mergeCell ref="C226:H226"/>
    <mergeCell ref="V226:W226"/>
    <mergeCell ref="C227:H227"/>
    <mergeCell ref="V227:W227"/>
    <mergeCell ref="C228:H228"/>
    <mergeCell ref="V228:W228"/>
    <mergeCell ref="C223:H223"/>
    <mergeCell ref="V223:W223"/>
    <mergeCell ref="C224:H224"/>
    <mergeCell ref="V224:W224"/>
    <mergeCell ref="C225:H225"/>
    <mergeCell ref="V225:W225"/>
    <mergeCell ref="C220:H220"/>
    <mergeCell ref="V220:W220"/>
    <mergeCell ref="C221:H221"/>
    <mergeCell ref="V221:W221"/>
    <mergeCell ref="C222:H222"/>
    <mergeCell ref="V222:W222"/>
    <mergeCell ref="C217:H217"/>
    <mergeCell ref="V217:W217"/>
    <mergeCell ref="C218:H218"/>
    <mergeCell ref="V218:W218"/>
    <mergeCell ref="C219:H219"/>
    <mergeCell ref="V219:W219"/>
    <mergeCell ref="C214:H214"/>
    <mergeCell ref="V214:W214"/>
    <mergeCell ref="C215:H215"/>
    <mergeCell ref="V215:W215"/>
    <mergeCell ref="C216:H216"/>
    <mergeCell ref="V216:W216"/>
    <mergeCell ref="C211:H211"/>
    <mergeCell ref="V211:W211"/>
    <mergeCell ref="C212:H212"/>
    <mergeCell ref="V212:W212"/>
    <mergeCell ref="C213:H213"/>
    <mergeCell ref="V213:W213"/>
    <mergeCell ref="C208:H208"/>
    <mergeCell ref="V208:W208"/>
    <mergeCell ref="C209:H209"/>
    <mergeCell ref="V209:W209"/>
    <mergeCell ref="C210:H210"/>
    <mergeCell ref="V210:W210"/>
    <mergeCell ref="C205:H205"/>
    <mergeCell ref="V205:W205"/>
    <mergeCell ref="C206:H206"/>
    <mergeCell ref="V206:W206"/>
    <mergeCell ref="C207:H207"/>
    <mergeCell ref="V207:W207"/>
    <mergeCell ref="V200:W200"/>
    <mergeCell ref="C201:H201"/>
    <mergeCell ref="C202:H202"/>
    <mergeCell ref="V202:W202"/>
    <mergeCell ref="C203:H203"/>
    <mergeCell ref="C204:H204"/>
    <mergeCell ref="V204:W204"/>
    <mergeCell ref="C195:H195"/>
    <mergeCell ref="C196:H196"/>
    <mergeCell ref="C197:H197"/>
    <mergeCell ref="C198:H198"/>
    <mergeCell ref="C199:H199"/>
    <mergeCell ref="C200:H200"/>
    <mergeCell ref="V191:W191"/>
    <mergeCell ref="C193:L193"/>
    <mergeCell ref="N193:O193"/>
    <mergeCell ref="Q193:R193"/>
    <mergeCell ref="T193:W193"/>
    <mergeCell ref="C194:H194"/>
    <mergeCell ref="V194:W194"/>
    <mergeCell ref="C188:H188"/>
    <mergeCell ref="V188:W188"/>
    <mergeCell ref="C189:H189"/>
    <mergeCell ref="V189:W189"/>
    <mergeCell ref="C190:H190"/>
    <mergeCell ref="V190:W190"/>
    <mergeCell ref="C185:H185"/>
    <mergeCell ref="V185:W185"/>
    <mergeCell ref="C186:H186"/>
    <mergeCell ref="V186:W186"/>
    <mergeCell ref="C187:H187"/>
    <mergeCell ref="V187:W187"/>
    <mergeCell ref="C182:H182"/>
    <mergeCell ref="V182:W182"/>
    <mergeCell ref="C183:H183"/>
    <mergeCell ref="V183:W183"/>
    <mergeCell ref="C184:H184"/>
    <mergeCell ref="V184:W184"/>
    <mergeCell ref="C179:H179"/>
    <mergeCell ref="V179:W179"/>
    <mergeCell ref="C180:H180"/>
    <mergeCell ref="V180:W180"/>
    <mergeCell ref="C181:H181"/>
    <mergeCell ref="V181:W181"/>
    <mergeCell ref="C176:H176"/>
    <mergeCell ref="V176:W176"/>
    <mergeCell ref="C177:H177"/>
    <mergeCell ref="V177:W177"/>
    <mergeCell ref="C178:H178"/>
    <mergeCell ref="V178:W178"/>
    <mergeCell ref="C173:H173"/>
    <mergeCell ref="V173:W173"/>
    <mergeCell ref="C174:H174"/>
    <mergeCell ref="V174:W174"/>
    <mergeCell ref="C175:H175"/>
    <mergeCell ref="V175:W175"/>
    <mergeCell ref="C170:H170"/>
    <mergeCell ref="V170:W170"/>
    <mergeCell ref="C171:H171"/>
    <mergeCell ref="V171:W171"/>
    <mergeCell ref="C172:H172"/>
    <mergeCell ref="V172:W172"/>
    <mergeCell ref="C167:H167"/>
    <mergeCell ref="V167:W167"/>
    <mergeCell ref="C168:H168"/>
    <mergeCell ref="V168:W168"/>
    <mergeCell ref="C169:H169"/>
    <mergeCell ref="V169:W169"/>
    <mergeCell ref="C164:H164"/>
    <mergeCell ref="V164:W164"/>
    <mergeCell ref="C165:H165"/>
    <mergeCell ref="V165:W165"/>
    <mergeCell ref="C166:H166"/>
    <mergeCell ref="V166:W166"/>
    <mergeCell ref="C161:H161"/>
    <mergeCell ref="V161:W161"/>
    <mergeCell ref="C162:H162"/>
    <mergeCell ref="V162:W162"/>
    <mergeCell ref="C163:H163"/>
    <mergeCell ref="V163:W163"/>
    <mergeCell ref="C158:H158"/>
    <mergeCell ref="V158:W158"/>
    <mergeCell ref="C159:H159"/>
    <mergeCell ref="V159:W159"/>
    <mergeCell ref="C160:H160"/>
    <mergeCell ref="V160:W160"/>
    <mergeCell ref="C155:H155"/>
    <mergeCell ref="V155:W155"/>
    <mergeCell ref="C156:H156"/>
    <mergeCell ref="V156:W156"/>
    <mergeCell ref="C157:H157"/>
    <mergeCell ref="V157:W157"/>
    <mergeCell ref="C152:H152"/>
    <mergeCell ref="V152:W152"/>
    <mergeCell ref="C153:H153"/>
    <mergeCell ref="V153:W153"/>
    <mergeCell ref="C154:H154"/>
    <mergeCell ref="V154:W154"/>
    <mergeCell ref="C149:H149"/>
    <mergeCell ref="V149:W149"/>
    <mergeCell ref="C150:H150"/>
    <mergeCell ref="V150:W150"/>
    <mergeCell ref="C151:H151"/>
    <mergeCell ref="V151:W151"/>
    <mergeCell ref="C146:H146"/>
    <mergeCell ref="V146:W146"/>
    <mergeCell ref="C147:H147"/>
    <mergeCell ref="V147:W147"/>
    <mergeCell ref="C148:H148"/>
    <mergeCell ref="V148:W148"/>
    <mergeCell ref="C143:H143"/>
    <mergeCell ref="V143:W143"/>
    <mergeCell ref="C144:H144"/>
    <mergeCell ref="V144:W144"/>
    <mergeCell ref="C145:H145"/>
    <mergeCell ref="V145:W145"/>
    <mergeCell ref="C140:H140"/>
    <mergeCell ref="V140:W140"/>
    <mergeCell ref="C141:H141"/>
    <mergeCell ref="V141:W141"/>
    <mergeCell ref="C142:H142"/>
    <mergeCell ref="V142:W142"/>
    <mergeCell ref="C137:H137"/>
    <mergeCell ref="V137:W137"/>
    <mergeCell ref="C138:H138"/>
    <mergeCell ref="V138:W138"/>
    <mergeCell ref="C139:H139"/>
    <mergeCell ref="V139:W139"/>
    <mergeCell ref="C134:H134"/>
    <mergeCell ref="V134:W134"/>
    <mergeCell ref="C135:H135"/>
    <mergeCell ref="V135:W135"/>
    <mergeCell ref="C136:H136"/>
    <mergeCell ref="V136:W136"/>
    <mergeCell ref="C130:H130"/>
    <mergeCell ref="C131:H131"/>
    <mergeCell ref="V131:W131"/>
    <mergeCell ref="C132:H132"/>
    <mergeCell ref="V132:W132"/>
    <mergeCell ref="C133:H133"/>
    <mergeCell ref="V133:W133"/>
    <mergeCell ref="C126:H126"/>
    <mergeCell ref="C127:H127"/>
    <mergeCell ref="V127:W127"/>
    <mergeCell ref="C128:H128"/>
    <mergeCell ref="V128:W128"/>
    <mergeCell ref="C129:H129"/>
    <mergeCell ref="V129:W129"/>
    <mergeCell ref="C121:H121"/>
    <mergeCell ref="C122:H122"/>
    <mergeCell ref="V122:W122"/>
    <mergeCell ref="C124:H124"/>
    <mergeCell ref="C125:H125"/>
    <mergeCell ref="V125:W125"/>
    <mergeCell ref="C116:H116"/>
    <mergeCell ref="V116:W116"/>
    <mergeCell ref="C117:H117"/>
    <mergeCell ref="C118:H118"/>
    <mergeCell ref="C119:H119"/>
    <mergeCell ref="C120:H120"/>
    <mergeCell ref="C112:H112"/>
    <mergeCell ref="V112:W112"/>
    <mergeCell ref="C113:H113"/>
    <mergeCell ref="V113:W113"/>
    <mergeCell ref="C115:L115"/>
    <mergeCell ref="N115:O115"/>
    <mergeCell ref="Q115:R115"/>
    <mergeCell ref="T115:W115"/>
    <mergeCell ref="C109:H109"/>
    <mergeCell ref="V109:W109"/>
    <mergeCell ref="C110:H110"/>
    <mergeCell ref="V110:W110"/>
    <mergeCell ref="C111:H111"/>
    <mergeCell ref="V111:W111"/>
    <mergeCell ref="C106:H106"/>
    <mergeCell ref="V106:W106"/>
    <mergeCell ref="C107:H107"/>
    <mergeCell ref="V107:W107"/>
    <mergeCell ref="C108:H108"/>
    <mergeCell ref="V108:W108"/>
    <mergeCell ref="C103:H103"/>
    <mergeCell ref="V103:W103"/>
    <mergeCell ref="C104:H104"/>
    <mergeCell ref="V104:W104"/>
    <mergeCell ref="C105:H105"/>
    <mergeCell ref="V105:W105"/>
    <mergeCell ref="C100:H100"/>
    <mergeCell ref="V100:W100"/>
    <mergeCell ref="C101:H101"/>
    <mergeCell ref="V101:W101"/>
    <mergeCell ref="C102:H102"/>
    <mergeCell ref="V102:W102"/>
    <mergeCell ref="C97:H97"/>
    <mergeCell ref="V97:W97"/>
    <mergeCell ref="C98:H98"/>
    <mergeCell ref="V98:W98"/>
    <mergeCell ref="C99:H99"/>
    <mergeCell ref="V99:W99"/>
    <mergeCell ref="C94:H94"/>
    <mergeCell ref="V94:W94"/>
    <mergeCell ref="C95:H95"/>
    <mergeCell ref="V95:W95"/>
    <mergeCell ref="C96:H96"/>
    <mergeCell ref="V96:W96"/>
    <mergeCell ref="C91:H91"/>
    <mergeCell ref="V91:W91"/>
    <mergeCell ref="C92:H92"/>
    <mergeCell ref="V92:W92"/>
    <mergeCell ref="C93:H93"/>
    <mergeCell ref="V93:W93"/>
    <mergeCell ref="C88:H88"/>
    <mergeCell ref="V88:W88"/>
    <mergeCell ref="C89:H89"/>
    <mergeCell ref="V89:W89"/>
    <mergeCell ref="C90:H90"/>
    <mergeCell ref="V90:W90"/>
    <mergeCell ref="C85:H85"/>
    <mergeCell ref="V85:W85"/>
    <mergeCell ref="C86:H86"/>
    <mergeCell ref="V86:W86"/>
    <mergeCell ref="C87:H87"/>
    <mergeCell ref="V87:W87"/>
    <mergeCell ref="C82:H82"/>
    <mergeCell ref="V82:W82"/>
    <mergeCell ref="C83:H83"/>
    <mergeCell ref="V83:W83"/>
    <mergeCell ref="C84:H84"/>
    <mergeCell ref="V84:W84"/>
    <mergeCell ref="C79:H79"/>
    <mergeCell ref="V79:W79"/>
    <mergeCell ref="C80:H80"/>
    <mergeCell ref="V80:W80"/>
    <mergeCell ref="C81:H81"/>
    <mergeCell ref="V81:W81"/>
    <mergeCell ref="C76:H76"/>
    <mergeCell ref="V76:W76"/>
    <mergeCell ref="C77:H77"/>
    <mergeCell ref="V77:W77"/>
    <mergeCell ref="C78:H78"/>
    <mergeCell ref="V78:W78"/>
    <mergeCell ref="C72:H72"/>
    <mergeCell ref="C73:H73"/>
    <mergeCell ref="V73:W73"/>
    <mergeCell ref="C74:H74"/>
    <mergeCell ref="V74:W74"/>
    <mergeCell ref="C75:H75"/>
    <mergeCell ref="V75:W75"/>
    <mergeCell ref="C68:H68"/>
    <mergeCell ref="V68:W68"/>
    <mergeCell ref="C69:H69"/>
    <mergeCell ref="V69:W69"/>
    <mergeCell ref="V70:W70"/>
    <mergeCell ref="C71:H71"/>
    <mergeCell ref="V71:W71"/>
    <mergeCell ref="C65:H65"/>
    <mergeCell ref="V65:W65"/>
    <mergeCell ref="C66:H66"/>
    <mergeCell ref="V66:W66"/>
    <mergeCell ref="C67:H67"/>
    <mergeCell ref="V67:W67"/>
    <mergeCell ref="C59:H59"/>
    <mergeCell ref="C60:H60"/>
    <mergeCell ref="V60:W60"/>
    <mergeCell ref="C62:H62"/>
    <mergeCell ref="C63:H63"/>
    <mergeCell ref="C64:H64"/>
    <mergeCell ref="V64:W64"/>
    <mergeCell ref="C54:H54"/>
    <mergeCell ref="V54:W54"/>
    <mergeCell ref="C55:H55"/>
    <mergeCell ref="C56:H56"/>
    <mergeCell ref="C57:H57"/>
    <mergeCell ref="C58:H58"/>
    <mergeCell ref="B51:L51"/>
    <mergeCell ref="N51:W51"/>
    <mergeCell ref="C53:L53"/>
    <mergeCell ref="N53:O53"/>
    <mergeCell ref="Q53:R53"/>
    <mergeCell ref="T53:W53"/>
    <mergeCell ref="B42:K42"/>
    <mergeCell ref="Q42:R42"/>
    <mergeCell ref="T42:U42"/>
    <mergeCell ref="Q44:R44"/>
    <mergeCell ref="J46:Q47"/>
    <mergeCell ref="E47:F47"/>
    <mergeCell ref="T34:U34"/>
    <mergeCell ref="T36:U36"/>
    <mergeCell ref="T38:U38"/>
    <mergeCell ref="J40:L40"/>
    <mergeCell ref="M40:N40"/>
    <mergeCell ref="T40:U40"/>
    <mergeCell ref="T28:U28"/>
    <mergeCell ref="J30:K30"/>
    <mergeCell ref="M30:N30"/>
    <mergeCell ref="T30:U30"/>
    <mergeCell ref="T32:U32"/>
    <mergeCell ref="D33:E33"/>
    <mergeCell ref="D26:E26"/>
    <mergeCell ref="J26:K26"/>
    <mergeCell ref="M26:N26"/>
    <mergeCell ref="T26:U26"/>
    <mergeCell ref="J27:K27"/>
    <mergeCell ref="M27:N27"/>
    <mergeCell ref="T27:U27"/>
    <mergeCell ref="D24:I24"/>
    <mergeCell ref="J24:K24"/>
    <mergeCell ref="M24:N24"/>
    <mergeCell ref="T24:U24"/>
    <mergeCell ref="J25:K25"/>
    <mergeCell ref="M25:N25"/>
    <mergeCell ref="T25:U25"/>
    <mergeCell ref="D22:I22"/>
    <mergeCell ref="J22:K22"/>
    <mergeCell ref="M22:N22"/>
    <mergeCell ref="T22:U22"/>
    <mergeCell ref="D13:I13"/>
    <mergeCell ref="J13:K13"/>
    <mergeCell ref="L13:V15"/>
    <mergeCell ref="D15:I15"/>
    <mergeCell ref="D18:E18"/>
    <mergeCell ref="J18:K18"/>
    <mergeCell ref="M18:N18"/>
    <mergeCell ref="T18:U18"/>
    <mergeCell ref="B2:D3"/>
    <mergeCell ref="E2:P2"/>
    <mergeCell ref="T2:W3"/>
    <mergeCell ref="E3:P3"/>
    <mergeCell ref="B5:W5"/>
    <mergeCell ref="E10:F10"/>
    <mergeCell ref="H10:Q10"/>
    <mergeCell ref="D20:E20"/>
    <mergeCell ref="J20:K20"/>
    <mergeCell ref="M20:N20"/>
    <mergeCell ref="T20:U20"/>
  </mergeCells>
  <dataValidations count="3">
    <dataValidation type="custom" allowBlank="1" showInputMessage="1" showErrorMessage="1" errorTitle="SE ESTAN PASANDO DEL 100% " error="ES NECESARIO QUE LAS MAYORES CANTIDADES SEAN CONSIGNADAS EN EL AREA PARA ELLO DESIGNADA EN EL FORMATO_x000a__x000a_" promptTitle="SE ACEPTA MAXIMO 2 DECIMALES" prompt="LA SED ACEPTA MAXIMO DOS DECIMALES PARA LAS CANTIDADES SIN EMBARGO LA OPERACION DE MULTIPLICACION EN LA COLUMNA DE VALOR SOLO TOMA MAXIMO DOS DECIMALES PORSI ACASO_x000a__x000a_" sqref="N396:N397 N379 N377" xr:uid="{749B7FFB-4754-4764-83B5-3008B6159C3C}">
      <formula1>T377&lt;=J377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sqref="J184" xr:uid="{0AC2AE24-FE84-46D2-9985-CA4C74813F80}">
      <formula1>#REF!&lt;=#REF!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sqref="J185:J190" xr:uid="{1EB3E204-7390-4163-A96B-54FFB36DCB0F}">
      <formula1>O184&lt;=E184</formula1>
    </dataValidation>
  </dataValidations>
  <pageMargins left="0.31496062992125984" right="0.11811023622047245" top="0.35433070866141736" bottom="0.15748031496062992" header="0" footer="0"/>
  <pageSetup scale="37" fitToHeight="7" orientation="landscape" r:id="rId1"/>
  <rowBreaks count="2" manualBreakCount="2">
    <brk id="191" max="25" man="1"/>
    <brk id="364" max="25" man="1"/>
  </rowBreaks>
  <colBreaks count="1" manualBreakCount="1">
    <brk id="24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645E3-4F88-4E38-87B1-A9AC9A0200C5}">
  <sheetPr>
    <pageSetUpPr fitToPage="1"/>
  </sheetPr>
  <dimension ref="A1:U65"/>
  <sheetViews>
    <sheetView view="pageBreakPreview" zoomScale="80" zoomScaleNormal="80" zoomScaleSheetLayoutView="80" workbookViewId="0">
      <selection activeCell="J39" sqref="J39"/>
    </sheetView>
  </sheetViews>
  <sheetFormatPr defaultColWidth="11.42578125" defaultRowHeight="12.75"/>
  <cols>
    <col min="2" max="9" width="11.85546875" customWidth="1"/>
    <col min="10" max="10" width="26.85546875" customWidth="1"/>
    <col min="11" max="12" width="14.28515625" customWidth="1"/>
    <col min="13" max="13" width="16.7109375" bestFit="1" customWidth="1"/>
    <col min="14" max="14" width="13.28515625" customWidth="1"/>
    <col min="15" max="15" width="0" hidden="1" customWidth="1"/>
    <col min="18" max="18" width="17.42578125" bestFit="1" customWidth="1"/>
  </cols>
  <sheetData>
    <row r="1" spans="1:15">
      <c r="A1" s="1023" t="s">
        <v>339</v>
      </c>
      <c r="B1" s="1023"/>
      <c r="C1" s="1023"/>
      <c r="D1" s="1023"/>
      <c r="E1" s="1023"/>
      <c r="F1" s="1023"/>
      <c r="G1" s="1023"/>
      <c r="H1" s="1023"/>
      <c r="I1" s="1023"/>
      <c r="J1" s="1023"/>
      <c r="K1" s="1023"/>
      <c r="L1" s="1023"/>
      <c r="M1" s="1023"/>
      <c r="N1" s="1023"/>
    </row>
    <row r="2" spans="1:15" ht="46.5" customHeight="1">
      <c r="A2" s="1024"/>
      <c r="B2" s="1024"/>
      <c r="C2" s="1024"/>
      <c r="D2" s="1024"/>
      <c r="E2" s="1024"/>
      <c r="F2" s="1024"/>
      <c r="G2" s="1024"/>
      <c r="H2" s="1024"/>
      <c r="I2" s="1024"/>
      <c r="J2" s="1024"/>
      <c r="K2" s="1024"/>
      <c r="L2" s="1024"/>
      <c r="M2" s="1024"/>
      <c r="N2" s="1024"/>
    </row>
    <row r="3" spans="1:15" ht="63" customHeight="1">
      <c r="A3" s="681" t="s">
        <v>340</v>
      </c>
      <c r="B3" s="681" t="s">
        <v>341</v>
      </c>
      <c r="C3" s="1025" t="s">
        <v>342</v>
      </c>
      <c r="D3" s="1025"/>
      <c r="E3" s="1025"/>
      <c r="F3" s="1025"/>
      <c r="G3" s="1025"/>
      <c r="H3" s="1025" t="s">
        <v>343</v>
      </c>
      <c r="I3" s="1025"/>
      <c r="J3" s="1025"/>
      <c r="K3" s="1025"/>
      <c r="L3" s="1025" t="s">
        <v>344</v>
      </c>
      <c r="M3" s="1025"/>
      <c r="N3" s="1025"/>
    </row>
    <row r="4" spans="1:15" ht="15.75" customHeight="1">
      <c r="A4" s="173" t="s">
        <v>345</v>
      </c>
      <c r="B4" s="173">
        <v>3675</v>
      </c>
      <c r="C4" s="1026" t="s">
        <v>346</v>
      </c>
      <c r="D4" s="1026"/>
      <c r="E4" s="1026"/>
      <c r="F4" s="1026"/>
      <c r="G4" s="1026"/>
      <c r="H4" s="1026" t="s">
        <v>347</v>
      </c>
      <c r="I4" s="1026"/>
      <c r="J4" s="1026"/>
      <c r="K4" s="1026"/>
      <c r="L4" s="1026" t="s">
        <v>348</v>
      </c>
      <c r="M4" s="1026"/>
      <c r="N4" s="1026"/>
      <c r="O4" t="str">
        <f>"Llave MEN "&amp;A4&amp;" - "&amp;C4&amp;" "&amp;H4&amp;" - DDP No. "&amp;B4</f>
        <v>Llave MEN FPAZ-09 - INSTUTUCION EDUCATIVA SAN GIL  EL COMIENZO  - DDP No. 3675</v>
      </c>
    </row>
    <row r="5" spans="1:15" ht="15.75" customHeight="1">
      <c r="A5" s="173" t="s">
        <v>349</v>
      </c>
      <c r="B5" s="173">
        <v>3676</v>
      </c>
      <c r="C5" s="1026" t="s">
        <v>350</v>
      </c>
      <c r="D5" s="1026"/>
      <c r="E5" s="1026"/>
      <c r="F5" s="1026"/>
      <c r="G5" s="1026"/>
      <c r="H5" s="1026" t="s">
        <v>351</v>
      </c>
      <c r="I5" s="1026"/>
      <c r="J5" s="1026"/>
      <c r="K5" s="1026"/>
      <c r="L5" s="1026" t="s">
        <v>348</v>
      </c>
      <c r="M5" s="1026"/>
      <c r="N5" s="1026"/>
      <c r="O5" t="str">
        <f t="shared" ref="O5:O10" si="0">"Llave MEN "&amp;A5&amp;" - "&amp;C5&amp;" "&amp;H5&amp;" - DDP No. "&amp;B5</f>
        <v>Llave MEN FPAZ-10 - INSTITUCION EDUCATIVA EL RECREO  LA GARITA  - DDP No. 3676</v>
      </c>
    </row>
    <row r="6" spans="1:15" ht="15.75" customHeight="1">
      <c r="A6" s="173" t="s">
        <v>352</v>
      </c>
      <c r="B6" s="173">
        <v>3677</v>
      </c>
      <c r="C6" s="1026" t="s">
        <v>350</v>
      </c>
      <c r="D6" s="1026"/>
      <c r="E6" s="1026"/>
      <c r="F6" s="1026"/>
      <c r="G6" s="1026"/>
      <c r="H6" s="1026" t="s">
        <v>353</v>
      </c>
      <c r="I6" s="1026"/>
      <c r="J6" s="1026"/>
      <c r="K6" s="1026"/>
      <c r="L6" s="1026" t="s">
        <v>348</v>
      </c>
      <c r="M6" s="1026"/>
      <c r="N6" s="1026"/>
      <c r="O6" t="str">
        <f t="shared" si="0"/>
        <v>Llave MEN FPAZ-11 - INSTITUCION EDUCATIVA EL RECREO  LA PITA  - DDP No. 3677</v>
      </c>
    </row>
    <row r="7" spans="1:15" ht="15.75" customHeight="1">
      <c r="A7" s="173" t="s">
        <v>354</v>
      </c>
      <c r="B7" s="173">
        <v>3674</v>
      </c>
      <c r="C7" s="1026" t="s">
        <v>355</v>
      </c>
      <c r="D7" s="1026"/>
      <c r="E7" s="1026"/>
      <c r="F7" s="1026"/>
      <c r="G7" s="1026"/>
      <c r="H7" s="1026" t="s">
        <v>356</v>
      </c>
      <c r="I7" s="1026"/>
      <c r="J7" s="1026"/>
      <c r="K7" s="1026"/>
      <c r="L7" s="1026" t="s">
        <v>348</v>
      </c>
      <c r="M7" s="1026"/>
      <c r="N7" s="1026"/>
      <c r="O7" t="str">
        <f t="shared" si="0"/>
        <v>Llave MEN FPAZ-08 - NUESTRA SEÑORA DEL CARMEN  SANTA RITA  - DDP No. 3674</v>
      </c>
    </row>
    <row r="8" spans="1:15" ht="15.75" customHeight="1">
      <c r="A8" s="173"/>
      <c r="B8" s="173"/>
      <c r="C8" s="1026"/>
      <c r="D8" s="1026"/>
      <c r="E8" s="1026"/>
      <c r="F8" s="1026"/>
      <c r="G8" s="1026"/>
      <c r="H8" s="1026"/>
      <c r="I8" s="1026"/>
      <c r="J8" s="1026"/>
      <c r="K8" s="1026"/>
      <c r="L8" s="1026"/>
      <c r="M8" s="1026"/>
      <c r="N8" s="1026"/>
      <c r="O8" t="str">
        <f t="shared" si="0"/>
        <v xml:space="preserve">Llave MEN  -   - DDP No. </v>
      </c>
    </row>
    <row r="9" spans="1:15" ht="15.75" customHeight="1">
      <c r="A9" s="173"/>
      <c r="B9" s="173"/>
      <c r="C9" s="1026"/>
      <c r="D9" s="1026"/>
      <c r="E9" s="1026"/>
      <c r="F9" s="1026"/>
      <c r="G9" s="1026"/>
      <c r="H9" s="1026"/>
      <c r="I9" s="1026"/>
      <c r="J9" s="1026"/>
      <c r="K9" s="1026"/>
      <c r="L9" s="1026"/>
      <c r="M9" s="1026"/>
      <c r="N9" s="1026"/>
      <c r="O9" t="str">
        <f t="shared" si="0"/>
        <v xml:space="preserve">Llave MEN  -   - DDP No. </v>
      </c>
    </row>
    <row r="10" spans="1:15" ht="15.75" customHeight="1">
      <c r="A10" s="173"/>
      <c r="B10" s="173"/>
      <c r="C10" s="1026"/>
      <c r="D10" s="1026"/>
      <c r="E10" s="1026"/>
      <c r="F10" s="1026"/>
      <c r="G10" s="1026"/>
      <c r="H10" s="1026"/>
      <c r="I10" s="1026"/>
      <c r="J10" s="1026"/>
      <c r="K10" s="1026"/>
      <c r="L10" s="1026"/>
      <c r="M10" s="1026"/>
      <c r="N10" s="1026"/>
      <c r="O10" t="str">
        <f t="shared" si="0"/>
        <v xml:space="preserve">Llave MEN  -   - DDP No. </v>
      </c>
    </row>
    <row r="11" spans="1:15" ht="27" customHeight="1">
      <c r="A11" s="1027" t="s">
        <v>357</v>
      </c>
      <c r="B11" s="1028"/>
      <c r="C11" s="1028"/>
      <c r="D11" s="1028"/>
      <c r="E11" s="1028"/>
      <c r="F11" s="1028"/>
      <c r="G11" s="1028"/>
      <c r="H11" s="1028"/>
      <c r="I11" s="1028"/>
      <c r="J11" s="1028"/>
      <c r="K11" s="1028"/>
      <c r="L11" s="1028"/>
      <c r="M11" s="1028"/>
      <c r="N11" s="1029"/>
    </row>
    <row r="12" spans="1:15" ht="18.75" customHeight="1">
      <c r="A12" s="682" t="s">
        <v>358</v>
      </c>
      <c r="B12" s="1030" t="s">
        <v>359</v>
      </c>
      <c r="C12" s="1030"/>
      <c r="D12" s="1030"/>
      <c r="E12" s="1030"/>
      <c r="F12" s="1030"/>
      <c r="G12" s="1030"/>
      <c r="H12" s="1030"/>
      <c r="I12" s="1030"/>
      <c r="J12" s="683" t="s">
        <v>360</v>
      </c>
      <c r="K12" s="1030"/>
      <c r="L12" s="1030"/>
      <c r="M12" s="1031" t="s">
        <v>361</v>
      </c>
      <c r="N12" s="1031"/>
    </row>
    <row r="13" spans="1:15">
      <c r="A13" s="684">
        <v>1</v>
      </c>
      <c r="B13" s="685" t="s">
        <v>362</v>
      </c>
      <c r="C13" s="686"/>
      <c r="D13" s="686"/>
      <c r="E13" s="686"/>
      <c r="F13" s="686"/>
      <c r="G13" s="686"/>
      <c r="H13" s="686"/>
      <c r="I13" s="687"/>
      <c r="J13" s="688">
        <f>ROUND(+'[16]Acta Parcial  No.2'!O115*1.19,0)</f>
        <v>1035148</v>
      </c>
      <c r="K13" s="1032"/>
      <c r="L13" s="1033"/>
      <c r="M13" s="1034">
        <f>IFERROR(+J13-K13,0)</f>
        <v>1035148</v>
      </c>
      <c r="N13" s="1035"/>
    </row>
    <row r="14" spans="1:15">
      <c r="A14" s="689">
        <f>+A13+1</f>
        <v>2</v>
      </c>
      <c r="B14" s="685" t="s">
        <v>363</v>
      </c>
      <c r="C14" s="686"/>
      <c r="D14" s="686"/>
      <c r="E14" s="686"/>
      <c r="F14" s="686"/>
      <c r="G14" s="686"/>
      <c r="H14" s="686"/>
      <c r="I14" s="687"/>
      <c r="J14" s="688">
        <f>ROUND(+'[16]Acta Parcial  No.2'!O280*1.19,0)</f>
        <v>956330</v>
      </c>
      <c r="K14" s="1032"/>
      <c r="L14" s="1033"/>
      <c r="M14" s="1034">
        <f>IFERROR(+J14-K14,0)</f>
        <v>956330</v>
      </c>
      <c r="N14" s="1035"/>
    </row>
    <row r="15" spans="1:15">
      <c r="A15" s="689">
        <f t="shared" ref="A15:A18" si="1">+A14+1</f>
        <v>3</v>
      </c>
      <c r="B15" s="685" t="s">
        <v>364</v>
      </c>
      <c r="C15" s="686"/>
      <c r="D15" s="686"/>
      <c r="E15" s="686"/>
      <c r="F15" s="686"/>
      <c r="G15" s="686"/>
      <c r="H15" s="686"/>
      <c r="I15" s="687"/>
      <c r="J15" s="688">
        <f>ROUND(+'[16]Acta Parcial  No.2'!O193*1.19,0)</f>
        <v>2760576</v>
      </c>
      <c r="K15" s="1032"/>
      <c r="L15" s="1033"/>
      <c r="M15" s="1034">
        <f>IFERROR(+J15-K15,0)</f>
        <v>2760576</v>
      </c>
      <c r="N15" s="1035"/>
    </row>
    <row r="16" spans="1:15">
      <c r="A16" s="689">
        <f t="shared" si="1"/>
        <v>4</v>
      </c>
      <c r="B16" s="685" t="s">
        <v>365</v>
      </c>
      <c r="C16" s="686"/>
      <c r="D16" s="686"/>
      <c r="E16" s="686"/>
      <c r="F16" s="686"/>
      <c r="G16" s="686"/>
      <c r="H16" s="686"/>
      <c r="I16" s="687"/>
      <c r="J16" s="688">
        <f>ROUND(+'[16]Acta Parcial  No.2'!O53*1.19,0)</f>
        <v>607810</v>
      </c>
      <c r="K16" s="1032"/>
      <c r="L16" s="1033"/>
      <c r="M16" s="1034">
        <f t="shared" ref="M16:M18" si="2">IFERROR(+J16-K16,0)</f>
        <v>607810</v>
      </c>
      <c r="N16" s="1035"/>
    </row>
    <row r="17" spans="1:18">
      <c r="A17" s="689">
        <f t="shared" si="1"/>
        <v>5</v>
      </c>
      <c r="B17" s="685"/>
      <c r="C17" s="686"/>
      <c r="D17" s="686"/>
      <c r="E17" s="686"/>
      <c r="F17" s="686"/>
      <c r="G17" s="686"/>
      <c r="H17" s="686"/>
      <c r="I17" s="687"/>
      <c r="J17" s="688"/>
      <c r="K17" s="1032"/>
      <c r="L17" s="1033"/>
      <c r="M17" s="1034">
        <f t="shared" si="2"/>
        <v>0</v>
      </c>
      <c r="N17" s="1035"/>
    </row>
    <row r="18" spans="1:18">
      <c r="A18" s="689">
        <f t="shared" si="1"/>
        <v>6</v>
      </c>
      <c r="B18" s="685"/>
      <c r="C18" s="686"/>
      <c r="D18" s="686"/>
      <c r="E18" s="686"/>
      <c r="F18" s="686"/>
      <c r="G18" s="686"/>
      <c r="H18" s="686"/>
      <c r="I18" s="687"/>
      <c r="J18" s="688"/>
      <c r="K18" s="1032"/>
      <c r="L18" s="1033"/>
      <c r="M18" s="1034">
        <f t="shared" si="2"/>
        <v>0</v>
      </c>
      <c r="N18" s="1035"/>
    </row>
    <row r="19" spans="1:18">
      <c r="A19" s="1036" t="s">
        <v>366</v>
      </c>
      <c r="B19" s="1036"/>
      <c r="C19" s="1036"/>
      <c r="D19" s="1036"/>
      <c r="E19" s="1036"/>
      <c r="F19" s="1036"/>
      <c r="G19" s="1036"/>
      <c r="H19" s="1036"/>
      <c r="I19" s="1036"/>
      <c r="J19" s="690">
        <f>SUM(J13:J18)</f>
        <v>5359864</v>
      </c>
      <c r="K19" s="1037"/>
      <c r="L19" s="1038"/>
      <c r="M19" s="1037">
        <f>SUM(M13:N18)</f>
        <v>5359864</v>
      </c>
      <c r="N19" s="1038"/>
    </row>
    <row r="20" spans="1:18">
      <c r="A20" s="691"/>
      <c r="B20" s="692"/>
      <c r="C20" s="692"/>
      <c r="D20" s="692"/>
      <c r="E20" s="692"/>
      <c r="F20" s="692"/>
      <c r="G20" s="692"/>
      <c r="H20" s="693"/>
      <c r="I20" s="694"/>
      <c r="J20" s="695"/>
      <c r="K20" s="696"/>
      <c r="L20" s="696"/>
      <c r="M20" s="696"/>
      <c r="N20" s="696"/>
    </row>
    <row r="21" spans="1:18">
      <c r="A21" s="691"/>
      <c r="B21" s="692"/>
      <c r="C21" s="692"/>
      <c r="D21" s="692"/>
      <c r="E21" s="692"/>
      <c r="F21" s="692"/>
      <c r="G21" s="692"/>
      <c r="H21" s="693"/>
      <c r="I21" s="694"/>
      <c r="J21" s="695"/>
      <c r="K21" s="696"/>
      <c r="L21" s="696"/>
      <c r="M21" s="696"/>
      <c r="N21" s="696"/>
    </row>
    <row r="23" spans="1:18" ht="24.75" customHeight="1">
      <c r="A23" s="1027" t="s">
        <v>367</v>
      </c>
      <c r="B23" s="1028"/>
      <c r="C23" s="1028"/>
      <c r="D23" s="1028"/>
      <c r="E23" s="1028"/>
      <c r="F23" s="1028"/>
      <c r="G23" s="1028"/>
      <c r="H23" s="1028"/>
      <c r="I23" s="1028"/>
      <c r="J23" s="1028"/>
      <c r="K23" s="1028"/>
      <c r="L23" s="1028"/>
      <c r="M23" s="1028"/>
      <c r="N23" s="1029"/>
    </row>
    <row r="24" spans="1:18" ht="34.5" customHeight="1">
      <c r="A24" s="682" t="s">
        <v>358</v>
      </c>
      <c r="B24" s="1030" t="s">
        <v>359</v>
      </c>
      <c r="C24" s="1030"/>
      <c r="D24" s="1030"/>
      <c r="E24" s="1030"/>
      <c r="F24" s="1030"/>
      <c r="G24" s="1030"/>
      <c r="H24" s="1030"/>
      <c r="I24" s="1030"/>
      <c r="J24" s="683" t="s">
        <v>360</v>
      </c>
      <c r="K24" s="1030" t="s">
        <v>368</v>
      </c>
      <c r="L24" s="1030"/>
      <c r="M24" s="1031" t="s">
        <v>361</v>
      </c>
      <c r="N24" s="1031"/>
    </row>
    <row r="25" spans="1:18">
      <c r="A25" s="684">
        <v>1</v>
      </c>
      <c r="B25" s="1039" t="s">
        <v>365</v>
      </c>
      <c r="C25" s="1040"/>
      <c r="D25" s="1040"/>
      <c r="E25" s="1040"/>
      <c r="F25" s="1040"/>
      <c r="G25" s="1040"/>
      <c r="H25" s="1040"/>
      <c r="I25" s="1041"/>
      <c r="J25" s="688">
        <f>ROUND(+'[16]Acta Parcial  No.2'!O106*1.32,0)</f>
        <v>59947743</v>
      </c>
      <c r="K25" s="1034">
        <f>IFERROR(ROUND(J25*#REF!,0),0)</f>
        <v>0</v>
      </c>
      <c r="L25" s="1035"/>
      <c r="M25" s="1034">
        <f t="shared" ref="M25:M30" si="3">IFERROR(+J25-K25,0)</f>
        <v>59947743</v>
      </c>
      <c r="N25" s="1035"/>
    </row>
    <row r="26" spans="1:18">
      <c r="A26" s="689">
        <f>+A25+1</f>
        <v>2</v>
      </c>
      <c r="B26" s="1039"/>
      <c r="C26" s="1040"/>
      <c r="D26" s="1040"/>
      <c r="E26" s="1040"/>
      <c r="F26" s="1040"/>
      <c r="G26" s="1040"/>
      <c r="H26" s="1040"/>
      <c r="I26" s="1041"/>
      <c r="J26" s="688"/>
      <c r="K26" s="1034">
        <f>IFERROR(ROUND(J26*#REF!,0),0)</f>
        <v>0</v>
      </c>
      <c r="L26" s="1035"/>
      <c r="M26" s="1034">
        <f t="shared" si="3"/>
        <v>0</v>
      </c>
      <c r="N26" s="1035"/>
    </row>
    <row r="27" spans="1:18">
      <c r="A27" s="689">
        <f t="shared" ref="A27:A30" si="4">+A26+1</f>
        <v>3</v>
      </c>
      <c r="B27" s="1039"/>
      <c r="C27" s="1040"/>
      <c r="D27" s="1040"/>
      <c r="E27" s="1040"/>
      <c r="F27" s="1040"/>
      <c r="G27" s="1040"/>
      <c r="H27" s="1040"/>
      <c r="I27" s="1041"/>
      <c r="J27" s="688"/>
      <c r="K27" s="1034">
        <f>IFERROR(ROUND(J27*#REF!,0),0)</f>
        <v>0</v>
      </c>
      <c r="L27" s="1035"/>
      <c r="M27" s="1034">
        <f t="shared" si="3"/>
        <v>0</v>
      </c>
      <c r="N27" s="1035"/>
    </row>
    <row r="28" spans="1:18">
      <c r="A28" s="689">
        <f t="shared" si="4"/>
        <v>4</v>
      </c>
      <c r="B28" s="1039"/>
      <c r="C28" s="1040"/>
      <c r="D28" s="1040"/>
      <c r="E28" s="1040"/>
      <c r="F28" s="1040"/>
      <c r="G28" s="1040"/>
      <c r="H28" s="1040"/>
      <c r="I28" s="1041"/>
      <c r="J28" s="688"/>
      <c r="K28" s="1034">
        <f>IFERROR(ROUND(J28*#REF!,0),0)</f>
        <v>0</v>
      </c>
      <c r="L28" s="1035"/>
      <c r="M28" s="1034">
        <f t="shared" si="3"/>
        <v>0</v>
      </c>
      <c r="N28" s="1035"/>
    </row>
    <row r="29" spans="1:18">
      <c r="A29" s="689">
        <f t="shared" si="4"/>
        <v>5</v>
      </c>
      <c r="B29" s="1039"/>
      <c r="C29" s="1040"/>
      <c r="D29" s="1040"/>
      <c r="E29" s="1040"/>
      <c r="F29" s="1040"/>
      <c r="G29" s="1040"/>
      <c r="H29" s="1040"/>
      <c r="I29" s="1041"/>
      <c r="J29" s="688"/>
      <c r="K29" s="1034">
        <f>IFERROR(ROUND(J29*#REF!,0),0)</f>
        <v>0</v>
      </c>
      <c r="L29" s="1035"/>
      <c r="M29" s="1034">
        <f t="shared" si="3"/>
        <v>0</v>
      </c>
      <c r="N29" s="1035"/>
    </row>
    <row r="30" spans="1:18">
      <c r="A30" s="689">
        <f t="shared" si="4"/>
        <v>6</v>
      </c>
      <c r="B30" s="1039"/>
      <c r="C30" s="1040"/>
      <c r="D30" s="1040"/>
      <c r="E30" s="1040"/>
      <c r="F30" s="1040"/>
      <c r="G30" s="1040"/>
      <c r="H30" s="1040"/>
      <c r="I30" s="1041"/>
      <c r="J30" s="688"/>
      <c r="K30" s="1034">
        <f>IFERROR(ROUND(J30*#REF!,0),0)</f>
        <v>0</v>
      </c>
      <c r="L30" s="1035"/>
      <c r="M30" s="1034">
        <f t="shared" si="3"/>
        <v>0</v>
      </c>
      <c r="N30" s="1035"/>
      <c r="R30" s="697">
        <f>+J31+J41</f>
        <v>320687860</v>
      </c>
    </row>
    <row r="31" spans="1:18">
      <c r="A31" s="1036" t="s">
        <v>366</v>
      </c>
      <c r="B31" s="1036"/>
      <c r="C31" s="1036"/>
      <c r="D31" s="1036"/>
      <c r="E31" s="1036"/>
      <c r="F31" s="1036"/>
      <c r="G31" s="1036"/>
      <c r="H31" s="1036"/>
      <c r="I31" s="1036"/>
      <c r="J31" s="690">
        <f>SUM(J25:J30)</f>
        <v>59947743</v>
      </c>
      <c r="K31" s="1037">
        <f>SUM(K25:L30)</f>
        <v>0</v>
      </c>
      <c r="L31" s="1038"/>
      <c r="M31" s="1037">
        <f>SUM(M25:N30)</f>
        <v>59947743</v>
      </c>
      <c r="N31" s="1038"/>
    </row>
    <row r="33" spans="1:14" ht="28.5" customHeight="1">
      <c r="A33" s="1027" t="s">
        <v>369</v>
      </c>
      <c r="B33" s="1028"/>
      <c r="C33" s="1028"/>
      <c r="D33" s="1028"/>
      <c r="E33" s="1028"/>
      <c r="F33" s="1028"/>
      <c r="G33" s="1028"/>
      <c r="H33" s="1028"/>
      <c r="I33" s="1028"/>
      <c r="J33" s="1028"/>
      <c r="K33" s="1028"/>
      <c r="L33" s="1028"/>
      <c r="M33" s="1028"/>
      <c r="N33" s="1029"/>
    </row>
    <row r="34" spans="1:14" ht="31.5" customHeight="1">
      <c r="A34" s="682" t="s">
        <v>358</v>
      </c>
      <c r="B34" s="1030" t="s">
        <v>359</v>
      </c>
      <c r="C34" s="1030"/>
      <c r="D34" s="1030"/>
      <c r="E34" s="1030"/>
      <c r="F34" s="1030"/>
      <c r="G34" s="1030"/>
      <c r="H34" s="1030"/>
      <c r="I34" s="1030"/>
      <c r="J34" s="683" t="s">
        <v>360</v>
      </c>
      <c r="K34" s="1030" t="s">
        <v>368</v>
      </c>
      <c r="L34" s="1030"/>
      <c r="M34" s="1031" t="s">
        <v>361</v>
      </c>
      <c r="N34" s="1031"/>
    </row>
    <row r="35" spans="1:14">
      <c r="A35" s="684">
        <v>1</v>
      </c>
      <c r="B35" s="1039" t="s">
        <v>362</v>
      </c>
      <c r="C35" s="1040"/>
      <c r="D35" s="1040"/>
      <c r="E35" s="1040"/>
      <c r="F35" s="1040"/>
      <c r="G35" s="1040"/>
      <c r="H35" s="1040"/>
      <c r="I35" s="1041"/>
      <c r="J35" s="688">
        <f>ROUNDUP(+'[16]Acta Parcial  No.2'!O184*1.32,0)</f>
        <v>107319425</v>
      </c>
      <c r="K35" s="1034">
        <f>IFERROR(ROUND(J35*#REF!,0),0)</f>
        <v>0</v>
      </c>
      <c r="L35" s="1035"/>
      <c r="M35" s="1034">
        <f t="shared" ref="M35:M40" si="5">IFERROR(+J35-K35,0)</f>
        <v>107319425</v>
      </c>
      <c r="N35" s="1035"/>
    </row>
    <row r="36" spans="1:14">
      <c r="A36" s="689">
        <f>+A35+1</f>
        <v>2</v>
      </c>
      <c r="B36" s="1039" t="s">
        <v>363</v>
      </c>
      <c r="C36" s="1040"/>
      <c r="D36" s="1040"/>
      <c r="E36" s="1040"/>
      <c r="F36" s="1040"/>
      <c r="G36" s="1040"/>
      <c r="H36" s="1040"/>
      <c r="I36" s="1041"/>
      <c r="J36" s="688">
        <f>ROUND(+'[16]Acta Parcial  No.2'!O356*1.32,0)</f>
        <v>64576134</v>
      </c>
      <c r="K36" s="1034">
        <f>IFERROR(ROUND(J36*#REF!,0),0)</f>
        <v>0</v>
      </c>
      <c r="L36" s="1035"/>
      <c r="M36" s="1034">
        <f t="shared" si="5"/>
        <v>64576134</v>
      </c>
      <c r="N36" s="1035"/>
    </row>
    <row r="37" spans="1:14">
      <c r="A37" s="689">
        <f t="shared" ref="A37:A40" si="6">+A36+1</f>
        <v>3</v>
      </c>
      <c r="B37" s="1039" t="s">
        <v>364</v>
      </c>
      <c r="C37" s="1040"/>
      <c r="D37" s="1040"/>
      <c r="E37" s="1040"/>
      <c r="F37" s="1040"/>
      <c r="G37" s="1040"/>
      <c r="H37" s="1040"/>
      <c r="I37" s="1041"/>
      <c r="J37" s="688">
        <f>ROUND(+'[16]Acta Parcial  No.2'!O270*1.32,0)</f>
        <v>88844558</v>
      </c>
      <c r="K37" s="1034">
        <f>IFERROR(ROUND(J37*#REF!,0),0)</f>
        <v>0</v>
      </c>
      <c r="L37" s="1035"/>
      <c r="M37" s="1034">
        <f t="shared" si="5"/>
        <v>88844558</v>
      </c>
      <c r="N37" s="1035"/>
    </row>
    <row r="38" spans="1:14">
      <c r="A38" s="689">
        <f t="shared" si="6"/>
        <v>4</v>
      </c>
      <c r="B38" s="1039"/>
      <c r="C38" s="1040"/>
      <c r="D38" s="1040"/>
      <c r="E38" s="1040"/>
      <c r="F38" s="1040"/>
      <c r="G38" s="1040"/>
      <c r="H38" s="1040"/>
      <c r="I38" s="1041"/>
      <c r="J38" s="688"/>
      <c r="K38" s="1034">
        <f>IFERROR(ROUND(J38*#REF!,0),0)</f>
        <v>0</v>
      </c>
      <c r="L38" s="1035"/>
      <c r="M38" s="1034">
        <f t="shared" si="5"/>
        <v>0</v>
      </c>
      <c r="N38" s="1035"/>
    </row>
    <row r="39" spans="1:14">
      <c r="A39" s="689">
        <f t="shared" si="6"/>
        <v>5</v>
      </c>
      <c r="B39" s="1039"/>
      <c r="C39" s="1040"/>
      <c r="D39" s="1040"/>
      <c r="E39" s="1040"/>
      <c r="F39" s="1040"/>
      <c r="G39" s="1040"/>
      <c r="H39" s="1040"/>
      <c r="I39" s="1041"/>
      <c r="J39" s="688"/>
      <c r="K39" s="1034">
        <f>IFERROR(ROUND(J39*#REF!,0),0)</f>
        <v>0</v>
      </c>
      <c r="L39" s="1035"/>
      <c r="M39" s="1034">
        <f t="shared" si="5"/>
        <v>0</v>
      </c>
      <c r="N39" s="1035"/>
    </row>
    <row r="40" spans="1:14">
      <c r="A40" s="689">
        <f t="shared" si="6"/>
        <v>6</v>
      </c>
      <c r="B40" s="1039"/>
      <c r="C40" s="1040"/>
      <c r="D40" s="1040"/>
      <c r="E40" s="1040"/>
      <c r="F40" s="1040"/>
      <c r="G40" s="1040"/>
      <c r="H40" s="1040"/>
      <c r="I40" s="1041"/>
      <c r="J40" s="688"/>
      <c r="K40" s="1034">
        <f>IFERROR(ROUND(J40*#REF!,0),0)</f>
        <v>0</v>
      </c>
      <c r="L40" s="1035"/>
      <c r="M40" s="1034">
        <f t="shared" si="5"/>
        <v>0</v>
      </c>
      <c r="N40" s="1035"/>
    </row>
    <row r="41" spans="1:14">
      <c r="A41" s="1036" t="s">
        <v>366</v>
      </c>
      <c r="B41" s="1036"/>
      <c r="C41" s="1036"/>
      <c r="D41" s="1036"/>
      <c r="E41" s="1036"/>
      <c r="F41" s="1036"/>
      <c r="G41" s="1036"/>
      <c r="H41" s="1036"/>
      <c r="I41" s="1036"/>
      <c r="J41" s="690">
        <f>SUM(J35:J40)</f>
        <v>260740117</v>
      </c>
      <c r="K41" s="1037">
        <f>SUM(K35:L40)</f>
        <v>0</v>
      </c>
      <c r="L41" s="1038"/>
      <c r="M41" s="1037">
        <f>SUM(M35:N40)</f>
        <v>260740117</v>
      </c>
      <c r="N41" s="1038"/>
    </row>
    <row r="43" spans="1:14" ht="27" customHeight="1">
      <c r="A43" s="1027" t="s">
        <v>370</v>
      </c>
      <c r="B43" s="1028"/>
      <c r="C43" s="1028"/>
      <c r="D43" s="1028"/>
      <c r="E43" s="1028"/>
      <c r="F43" s="1028"/>
      <c r="G43" s="1028"/>
      <c r="H43" s="1028"/>
      <c r="I43" s="1028"/>
      <c r="J43" s="1028"/>
      <c r="K43" s="1028"/>
      <c r="L43" s="1028"/>
      <c r="M43" s="1028"/>
      <c r="N43" s="1029"/>
    </row>
    <row r="44" spans="1:14" ht="31.5" customHeight="1">
      <c r="A44" s="682" t="s">
        <v>358</v>
      </c>
      <c r="B44" s="1030" t="s">
        <v>359</v>
      </c>
      <c r="C44" s="1030"/>
      <c r="D44" s="1030"/>
      <c r="E44" s="1030"/>
      <c r="F44" s="1030"/>
      <c r="G44" s="1030"/>
      <c r="H44" s="1030"/>
      <c r="I44" s="1030"/>
      <c r="J44" s="683" t="s">
        <v>360</v>
      </c>
      <c r="K44" s="1030" t="s">
        <v>368</v>
      </c>
      <c r="L44" s="1030"/>
      <c r="M44" s="1031" t="s">
        <v>361</v>
      </c>
      <c r="N44" s="1031"/>
    </row>
    <row r="45" spans="1:14">
      <c r="A45" s="684">
        <v>1</v>
      </c>
      <c r="B45" s="1039"/>
      <c r="C45" s="1040"/>
      <c r="D45" s="1040"/>
      <c r="E45" s="1040"/>
      <c r="F45" s="1040"/>
      <c r="G45" s="1040"/>
      <c r="H45" s="1040"/>
      <c r="I45" s="1041"/>
      <c r="J45" s="688"/>
      <c r="K45" s="1034">
        <f>IFERROR(ROUNDDOWN(J45*#REF!,0),0)</f>
        <v>0</v>
      </c>
      <c r="L45" s="1035"/>
      <c r="M45" s="1034">
        <f t="shared" ref="M45:M50" si="7">IFERROR(+J45-K45,0)</f>
        <v>0</v>
      </c>
      <c r="N45" s="1035"/>
    </row>
    <row r="46" spans="1:14">
      <c r="A46" s="689">
        <f>+A45+1</f>
        <v>2</v>
      </c>
      <c r="B46" s="1039"/>
      <c r="C46" s="1040"/>
      <c r="D46" s="1040"/>
      <c r="E46" s="1040"/>
      <c r="F46" s="1040"/>
      <c r="G46" s="1040"/>
      <c r="H46" s="1040"/>
      <c r="I46" s="1041"/>
      <c r="J46" s="688"/>
      <c r="K46" s="1034">
        <f>IFERROR(ROUNDDOWN(J46*#REF!,0),0)</f>
        <v>0</v>
      </c>
      <c r="L46" s="1035"/>
      <c r="M46" s="1034">
        <f t="shared" si="7"/>
        <v>0</v>
      </c>
      <c r="N46" s="1035"/>
    </row>
    <row r="47" spans="1:14">
      <c r="A47" s="689">
        <f t="shared" ref="A47:A50" si="8">+A46+1</f>
        <v>3</v>
      </c>
      <c r="B47" s="1039"/>
      <c r="C47" s="1040"/>
      <c r="D47" s="1040"/>
      <c r="E47" s="1040"/>
      <c r="F47" s="1040"/>
      <c r="G47" s="1040"/>
      <c r="H47" s="1040"/>
      <c r="I47" s="1041"/>
      <c r="J47" s="688"/>
      <c r="K47" s="1034">
        <f>IFERROR(ROUNDDOWN(J47*#REF!,0),0)</f>
        <v>0</v>
      </c>
      <c r="L47" s="1035"/>
      <c r="M47" s="1034">
        <f t="shared" si="7"/>
        <v>0</v>
      </c>
      <c r="N47" s="1035"/>
    </row>
    <row r="48" spans="1:14">
      <c r="A48" s="689">
        <f t="shared" si="8"/>
        <v>4</v>
      </c>
      <c r="B48" s="1039"/>
      <c r="C48" s="1040"/>
      <c r="D48" s="1040"/>
      <c r="E48" s="1040"/>
      <c r="F48" s="1040"/>
      <c r="G48" s="1040"/>
      <c r="H48" s="1040"/>
      <c r="I48" s="1041"/>
      <c r="J48" s="688"/>
      <c r="K48" s="1034">
        <f>IFERROR(ROUNDDOWN(J48*#REF!,0),0)</f>
        <v>0</v>
      </c>
      <c r="L48" s="1035"/>
      <c r="M48" s="1034">
        <f t="shared" si="7"/>
        <v>0</v>
      </c>
      <c r="N48" s="1035"/>
    </row>
    <row r="49" spans="1:21">
      <c r="A49" s="689">
        <f t="shared" si="8"/>
        <v>5</v>
      </c>
      <c r="B49" s="1039"/>
      <c r="C49" s="1040"/>
      <c r="D49" s="1040"/>
      <c r="E49" s="1040"/>
      <c r="F49" s="1040"/>
      <c r="G49" s="1040"/>
      <c r="H49" s="1040"/>
      <c r="I49" s="1041"/>
      <c r="J49" s="688"/>
      <c r="K49" s="1034">
        <f>IFERROR(ROUNDDOWN(J49*#REF!,0),0)</f>
        <v>0</v>
      </c>
      <c r="L49" s="1035"/>
      <c r="M49" s="1034">
        <f t="shared" si="7"/>
        <v>0</v>
      </c>
      <c r="N49" s="1035"/>
    </row>
    <row r="50" spans="1:21">
      <c r="A50" s="689">
        <f t="shared" si="8"/>
        <v>6</v>
      </c>
      <c r="B50" s="1039"/>
      <c r="C50" s="1040"/>
      <c r="D50" s="1040"/>
      <c r="E50" s="1040"/>
      <c r="F50" s="1040"/>
      <c r="G50" s="1040"/>
      <c r="H50" s="1040"/>
      <c r="I50" s="1041"/>
      <c r="J50" s="688"/>
      <c r="K50" s="1034">
        <f>IFERROR(ROUNDDOWN(J50*#REF!,0),0)</f>
        <v>0</v>
      </c>
      <c r="L50" s="1035"/>
      <c r="M50" s="1034">
        <f t="shared" si="7"/>
        <v>0</v>
      </c>
      <c r="N50" s="1035"/>
    </row>
    <row r="51" spans="1:21">
      <c r="A51" s="1036" t="s">
        <v>366</v>
      </c>
      <c r="B51" s="1036"/>
      <c r="C51" s="1036"/>
      <c r="D51" s="1036"/>
      <c r="E51" s="1036"/>
      <c r="F51" s="1036"/>
      <c r="G51" s="1036"/>
      <c r="H51" s="1036"/>
      <c r="I51" s="1036"/>
      <c r="J51" s="698">
        <v>0.17</v>
      </c>
      <c r="K51" s="1037"/>
      <c r="L51" s="1038"/>
      <c r="M51" s="1042">
        <v>0.17</v>
      </c>
      <c r="N51" s="1043"/>
    </row>
    <row r="53" spans="1:21" ht="14.25" customHeight="1">
      <c r="A53" s="1050" t="s">
        <v>371</v>
      </c>
      <c r="B53" s="1051"/>
      <c r="C53" s="1051"/>
      <c r="D53" s="1051"/>
      <c r="E53" s="1051"/>
      <c r="F53" s="1051"/>
      <c r="G53" s="1051"/>
      <c r="H53" s="1051"/>
      <c r="I53" s="1051"/>
      <c r="J53" s="699">
        <f>ROUND(J19+J31+J41+J51,0)</f>
        <v>326047724</v>
      </c>
      <c r="K53" s="1052">
        <f>+K51+K41+K31+K19</f>
        <v>0</v>
      </c>
      <c r="L53" s="1053"/>
      <c r="M53" s="1052">
        <f>ROUND(M51+M41+M31+M19,0)</f>
        <v>326047724</v>
      </c>
      <c r="N53" s="1053"/>
    </row>
    <row r="54" spans="1:21">
      <c r="M54" s="697"/>
    </row>
    <row r="55" spans="1:21" hidden="1"/>
    <row r="56" spans="1:21" hidden="1"/>
    <row r="57" spans="1:21" ht="26.25" customHeight="1">
      <c r="B57" s="1054" t="s">
        <v>372</v>
      </c>
      <c r="C57" s="1054"/>
      <c r="D57" s="1055" t="s">
        <v>373</v>
      </c>
      <c r="E57" s="1055"/>
      <c r="F57" s="1055"/>
      <c r="G57" s="1055"/>
      <c r="H57" s="1055"/>
      <c r="J57" s="1056" t="s">
        <v>374</v>
      </c>
      <c r="K57" s="1056"/>
      <c r="L57" s="1056"/>
      <c r="M57" s="1056"/>
    </row>
    <row r="58" spans="1:21">
      <c r="J58" s="700"/>
    </row>
    <row r="59" spans="1:21">
      <c r="A59" s="558"/>
      <c r="B59" s="633"/>
      <c r="C59" s="633"/>
      <c r="D59" s="633"/>
      <c r="E59" s="633"/>
      <c r="F59" s="633"/>
      <c r="G59" s="633"/>
      <c r="H59" s="541"/>
      <c r="I59" s="542"/>
      <c r="K59" s="624"/>
      <c r="L59" s="651"/>
      <c r="M59" s="624"/>
      <c r="N59" s="701"/>
      <c r="O59" s="624"/>
      <c r="P59" s="624"/>
      <c r="Q59" s="624"/>
      <c r="R59" s="624"/>
      <c r="S59" s="624"/>
      <c r="T59" s="624"/>
      <c r="U59" s="624"/>
    </row>
    <row r="60" spans="1:21">
      <c r="A60" s="558"/>
      <c r="B60" s="633"/>
      <c r="C60" s="633"/>
      <c r="D60" s="633"/>
      <c r="E60" s="633"/>
      <c r="F60" s="633"/>
      <c r="G60" s="633"/>
      <c r="H60" s="541"/>
      <c r="I60" s="542"/>
      <c r="J60" s="633"/>
      <c r="K60" s="624"/>
      <c r="L60" s="651"/>
      <c r="M60" s="651"/>
      <c r="N60" s="701"/>
      <c r="O60" s="624"/>
      <c r="P60" s="624"/>
      <c r="Q60" s="624"/>
      <c r="R60" s="624"/>
      <c r="S60" s="624"/>
      <c r="T60" s="624"/>
      <c r="U60" s="624"/>
    </row>
    <row r="61" spans="1:21">
      <c r="A61" s="558"/>
      <c r="B61" s="633"/>
      <c r="C61" s="633"/>
      <c r="D61" s="633"/>
      <c r="E61" s="633"/>
      <c r="F61" s="633"/>
      <c r="G61" s="633"/>
      <c r="H61" s="541"/>
      <c r="I61" s="542"/>
      <c r="J61" s="702"/>
      <c r="K61" s="624"/>
      <c r="L61" s="651"/>
      <c r="M61" s="624"/>
      <c r="N61" s="701"/>
      <c r="O61" s="624"/>
      <c r="P61" s="624"/>
      <c r="Q61" s="624"/>
      <c r="R61" s="624"/>
      <c r="S61" s="624"/>
      <c r="T61" s="624"/>
      <c r="U61" s="624"/>
    </row>
    <row r="62" spans="1:21" ht="40.5" customHeight="1">
      <c r="A62" s="558"/>
      <c r="B62" s="1046"/>
      <c r="C62" s="1046"/>
      <c r="D62" s="1046"/>
      <c r="E62" s="1046"/>
      <c r="F62" s="1046"/>
      <c r="G62" s="1046"/>
      <c r="H62" s="541"/>
      <c r="I62" s="542"/>
      <c r="J62" s="1046"/>
      <c r="K62" s="1046"/>
      <c r="L62" s="1046"/>
      <c r="M62" s="1046"/>
      <c r="N62" s="701"/>
      <c r="O62" s="624"/>
      <c r="T62" s="624"/>
      <c r="U62" s="624"/>
    </row>
    <row r="63" spans="1:21" ht="15" customHeight="1">
      <c r="A63" s="703"/>
      <c r="B63" s="1047" t="s">
        <v>375</v>
      </c>
      <c r="C63" s="1047"/>
      <c r="D63" s="1047"/>
      <c r="E63" s="1047"/>
      <c r="F63" s="1047"/>
      <c r="G63" s="1047"/>
      <c r="H63" s="704"/>
      <c r="I63" s="705"/>
      <c r="J63" s="1048" t="s">
        <v>336</v>
      </c>
      <c r="K63" s="1048"/>
      <c r="L63" s="1048"/>
      <c r="M63" s="1048"/>
      <c r="N63" s="706"/>
      <c r="O63" s="584"/>
      <c r="T63" s="584"/>
      <c r="U63" s="584"/>
    </row>
    <row r="64" spans="1:21" ht="14.25" customHeight="1">
      <c r="A64" s="558"/>
      <c r="B64" s="1049" t="s">
        <v>376</v>
      </c>
      <c r="C64" s="1049"/>
      <c r="D64" s="1049"/>
      <c r="E64" s="1049"/>
      <c r="F64" s="1049"/>
      <c r="G64" s="1049"/>
      <c r="H64" s="704"/>
      <c r="I64" s="705"/>
      <c r="J64" s="1048" t="s">
        <v>377</v>
      </c>
      <c r="K64" s="1048"/>
      <c r="L64" s="1048"/>
      <c r="M64" s="1048"/>
      <c r="N64" s="707"/>
      <c r="O64" s="584"/>
      <c r="T64" s="584"/>
      <c r="U64" s="584"/>
    </row>
    <row r="65" spans="1:21" ht="15.75" customHeight="1">
      <c r="A65" s="132"/>
      <c r="B65" s="1044" t="s">
        <v>337</v>
      </c>
      <c r="C65" s="1044"/>
      <c r="D65" s="1044"/>
      <c r="E65" s="1044"/>
      <c r="F65" s="1044"/>
      <c r="G65" s="1044"/>
      <c r="H65" s="708"/>
      <c r="I65" s="709"/>
      <c r="J65" s="1045" t="s">
        <v>338</v>
      </c>
      <c r="K65" s="1045"/>
      <c r="L65" s="1045"/>
      <c r="M65" s="1045"/>
      <c r="N65" s="710"/>
      <c r="O65" s="584"/>
      <c r="T65" s="584"/>
      <c r="U65" s="584"/>
    </row>
  </sheetData>
  <protectedRanges>
    <protectedRange sqref="J43:N44 J23:N24 J33:N34 A14:N21 H3 I2:I3 E2:H2 J2 J11:N12 A45:N51 A25:N31 A35:N41 F3:F10 H4:I10 K2:N10 A1 B2:D10 A3:A10 A13:I13 K13:N13" name="Rango14_1_2"/>
    <protectedRange sqref="A59:I62 T59:U62 J60:S61 J62:O62 K59:S59" name="Rango14_1_2_1"/>
    <protectedRange sqref="T63:U65 A63:A65 F63:I65 N63:O65" name="Rango14_3"/>
    <protectedRange sqref="D64 E63:E65 B63:D63 B65:D65" name="Rango14_3_1"/>
    <protectedRange sqref="B57:H57" name="Rango14_1_2_2"/>
    <protectedRange sqref="J13" name="Rango14_1_2_4_1"/>
  </protectedRanges>
  <mergeCells count="133">
    <mergeCell ref="B65:G65"/>
    <mergeCell ref="J65:M65"/>
    <mergeCell ref="B62:G62"/>
    <mergeCell ref="J62:M62"/>
    <mergeCell ref="B63:G63"/>
    <mergeCell ref="J63:M63"/>
    <mergeCell ref="B64:G64"/>
    <mergeCell ref="J64:M64"/>
    <mergeCell ref="A53:I53"/>
    <mergeCell ref="K53:L53"/>
    <mergeCell ref="M53:N53"/>
    <mergeCell ref="B57:C57"/>
    <mergeCell ref="D57:H57"/>
    <mergeCell ref="J57:M57"/>
    <mergeCell ref="B50:I50"/>
    <mergeCell ref="K50:L50"/>
    <mergeCell ref="M50:N50"/>
    <mergeCell ref="A51:I51"/>
    <mergeCell ref="K51:L51"/>
    <mergeCell ref="M51:N51"/>
    <mergeCell ref="B48:I48"/>
    <mergeCell ref="K48:L48"/>
    <mergeCell ref="M48:N48"/>
    <mergeCell ref="B49:I49"/>
    <mergeCell ref="K49:L49"/>
    <mergeCell ref="M49:N49"/>
    <mergeCell ref="B46:I46"/>
    <mergeCell ref="K46:L46"/>
    <mergeCell ref="M46:N46"/>
    <mergeCell ref="B47:I47"/>
    <mergeCell ref="K47:L47"/>
    <mergeCell ref="M47:N47"/>
    <mergeCell ref="A43:N43"/>
    <mergeCell ref="B44:I44"/>
    <mergeCell ref="K44:L44"/>
    <mergeCell ref="M44:N44"/>
    <mergeCell ref="B45:I45"/>
    <mergeCell ref="K45:L45"/>
    <mergeCell ref="M45:N45"/>
    <mergeCell ref="B40:I40"/>
    <mergeCell ref="K40:L40"/>
    <mergeCell ref="M40:N40"/>
    <mergeCell ref="A41:I41"/>
    <mergeCell ref="K41:L41"/>
    <mergeCell ref="M41:N41"/>
    <mergeCell ref="B38:I38"/>
    <mergeCell ref="K38:L38"/>
    <mergeCell ref="M38:N38"/>
    <mergeCell ref="B39:I39"/>
    <mergeCell ref="K39:L39"/>
    <mergeCell ref="M39:N39"/>
    <mergeCell ref="B36:I36"/>
    <mergeCell ref="K36:L36"/>
    <mergeCell ref="M36:N36"/>
    <mergeCell ref="B37:I37"/>
    <mergeCell ref="K37:L37"/>
    <mergeCell ref="M37:N37"/>
    <mergeCell ref="A33:N33"/>
    <mergeCell ref="B34:I34"/>
    <mergeCell ref="K34:L34"/>
    <mergeCell ref="M34:N34"/>
    <mergeCell ref="B35:I35"/>
    <mergeCell ref="K35:L35"/>
    <mergeCell ref="M35:N35"/>
    <mergeCell ref="B30:I30"/>
    <mergeCell ref="K30:L30"/>
    <mergeCell ref="M30:N30"/>
    <mergeCell ref="A31:I31"/>
    <mergeCell ref="K31:L31"/>
    <mergeCell ref="M31:N31"/>
    <mergeCell ref="B28:I28"/>
    <mergeCell ref="K28:L28"/>
    <mergeCell ref="M28:N28"/>
    <mergeCell ref="B29:I29"/>
    <mergeCell ref="K29:L29"/>
    <mergeCell ref="M29:N29"/>
    <mergeCell ref="B26:I26"/>
    <mergeCell ref="K26:L26"/>
    <mergeCell ref="M26:N26"/>
    <mergeCell ref="B27:I27"/>
    <mergeCell ref="K27:L27"/>
    <mergeCell ref="M27:N27"/>
    <mergeCell ref="A23:N23"/>
    <mergeCell ref="B24:I24"/>
    <mergeCell ref="K24:L24"/>
    <mergeCell ref="M24:N24"/>
    <mergeCell ref="B25:I25"/>
    <mergeCell ref="K25:L25"/>
    <mergeCell ref="M25:N25"/>
    <mergeCell ref="K17:L17"/>
    <mergeCell ref="M17:N17"/>
    <mergeCell ref="K18:L18"/>
    <mergeCell ref="M18:N18"/>
    <mergeCell ref="A19:I19"/>
    <mergeCell ref="K19:L19"/>
    <mergeCell ref="M19:N19"/>
    <mergeCell ref="K14:L14"/>
    <mergeCell ref="M14:N14"/>
    <mergeCell ref="K15:L15"/>
    <mergeCell ref="M15:N15"/>
    <mergeCell ref="K16:L16"/>
    <mergeCell ref="M16:N16"/>
    <mergeCell ref="A11:N11"/>
    <mergeCell ref="B12:I12"/>
    <mergeCell ref="K12:L12"/>
    <mergeCell ref="M12:N12"/>
    <mergeCell ref="K13:L13"/>
    <mergeCell ref="M13:N13"/>
    <mergeCell ref="C9:G9"/>
    <mergeCell ref="H9:K9"/>
    <mergeCell ref="L9:N9"/>
    <mergeCell ref="C10:G10"/>
    <mergeCell ref="H10:K10"/>
    <mergeCell ref="L10:N10"/>
    <mergeCell ref="C8:G8"/>
    <mergeCell ref="H8:K8"/>
    <mergeCell ref="L8:N8"/>
    <mergeCell ref="C5:G5"/>
    <mergeCell ref="H5:K5"/>
    <mergeCell ref="L5:N5"/>
    <mergeCell ref="C6:G6"/>
    <mergeCell ref="H6:K6"/>
    <mergeCell ref="L6:N6"/>
    <mergeCell ref="A1:N2"/>
    <mergeCell ref="C3:G3"/>
    <mergeCell ref="H3:K3"/>
    <mergeCell ref="L3:N3"/>
    <mergeCell ref="C4:G4"/>
    <mergeCell ref="H4:K4"/>
    <mergeCell ref="L4:N4"/>
    <mergeCell ref="C7:G7"/>
    <mergeCell ref="H7:K7"/>
    <mergeCell ref="L7:N7"/>
  </mergeCells>
  <conditionalFormatting sqref="J57">
    <cfRule type="expression" dxfId="0" priority="1">
      <formula>$D$57=""</formula>
    </cfRule>
  </conditionalFormatting>
  <dataValidations count="1">
    <dataValidation type="list" allowBlank="1" showInputMessage="1" showErrorMessage="1" sqref="B13:I18 B45:I50 B35:I40 B25:I30" xr:uid="{71F6ED3E-E682-4B88-816B-75297B5FE0C3}">
      <formula1>$O$4:$O$10</formula1>
    </dataValidation>
  </dataValidations>
  <pageMargins left="0.7" right="0.7" top="0.49" bottom="0.43" header="0.3" footer="0.3"/>
  <pageSetup scale="65" fitToHeight="0" orientation="landscape" r:id="rId1"/>
  <rowBreaks count="1" manualBreakCount="1">
    <brk id="42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F345F2C4-99DD-4768-9E50-ED8F75771B3A}"/>
</file>

<file path=customXml/itemProps2.xml><?xml version="1.0" encoding="utf-8"?>
<ds:datastoreItem xmlns:ds="http://schemas.openxmlformats.org/officeDocument/2006/customXml" ds:itemID="{AC4D2770-C470-4EFD-B735-F62A0AE6C710}"/>
</file>

<file path=customXml/itemProps3.xml><?xml version="1.0" encoding="utf-8"?>
<ds:datastoreItem xmlns:ds="http://schemas.openxmlformats.org/officeDocument/2006/customXml" ds:itemID="{D33E0720-A2BB-4000-9F0C-ADA66B45A7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Jorge Skinner Pulido Villabon</cp:lastModifiedBy>
  <cp:revision/>
  <dcterms:created xsi:type="dcterms:W3CDTF">2023-06-14T20:32:14Z</dcterms:created>
  <dcterms:modified xsi:type="dcterms:W3CDTF">2023-06-15T14:19:48Z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  <property fmtid="{D5CDD505-2E9C-101B-9397-08002B2CF9AE}" pid="3" name="MediaServiceImageTags">
    <vt:lpwstr/>
  </property>
</Properties>
</file>