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6330"/>
  </bookViews>
  <sheets>
    <sheet name="LIQ. PRETENSIONES DEMANDA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3" l="1"/>
  <c r="D8" i="13" l="1"/>
  <c r="F8" i="13" s="1"/>
  <c r="E15" i="13"/>
  <c r="E9" i="13"/>
  <c r="E14" i="13"/>
  <c r="E8" i="13"/>
  <c r="D9" i="13"/>
  <c r="E10" i="13"/>
  <c r="D14" i="13" l="1"/>
  <c r="F14" i="13" s="1"/>
  <c r="F9" i="13"/>
  <c r="D15" i="13"/>
  <c r="F15" i="13" s="1"/>
  <c r="E34" i="13"/>
  <c r="F34" i="13" s="1"/>
  <c r="E35" i="13"/>
  <c r="F35" i="13" s="1"/>
  <c r="D20" i="13"/>
  <c r="E16" i="13"/>
  <c r="F36" i="13" l="1"/>
  <c r="F40" i="13"/>
  <c r="D10" i="13"/>
  <c r="F10" i="13" s="1"/>
  <c r="F11" i="13" s="1"/>
  <c r="G40" i="13" l="1"/>
  <c r="E20" i="13" l="1"/>
  <c r="F20" i="13" s="1"/>
  <c r="D16" i="13" l="1"/>
  <c r="F16" i="13" s="1"/>
  <c r="F17" i="13" s="1"/>
  <c r="F21" i="13" l="1"/>
  <c r="E28" i="13"/>
  <c r="H26" i="13"/>
  <c r="I26" i="13" s="1"/>
  <c r="E29" i="13" l="1"/>
  <c r="F30" i="13" s="1"/>
</calcChain>
</file>

<file path=xl/sharedStrings.xml><?xml version="1.0" encoding="utf-8"?>
<sst xmlns="http://schemas.openxmlformats.org/spreadsheetml/2006/main" count="48" uniqueCount="33">
  <si>
    <t>LIQUIDACIÓN DE LAS PRETENSIONES DE LA DEMANDA</t>
  </si>
  <si>
    <t>DESDE</t>
  </si>
  <si>
    <t>HASTA</t>
  </si>
  <si>
    <t>SALARIO</t>
  </si>
  <si>
    <t>DÍAS</t>
  </si>
  <si>
    <t>CESANTÍAS</t>
  </si>
  <si>
    <t>Teniendo en cuenta que la demandante presuntamente debia devengar menos de 2 SMMLV, para el calculo de las primas y cesantías se incluyó el Aux. de transporte</t>
  </si>
  <si>
    <t xml:space="preserve">Las pretensiones de la demanda van encaminadas a: (i) Que se condene a la UT JUANCHITO al reintegro laboral del trabajador, (ii) que se condene a la UT JUANCHITO al pago de los salarios dejados de percibir desde el 01/03/2019 hasta la fecha que se realice el reintegro laboral, (iii) que se condene a la UT JUANCHITO a que pague lo correspondiente a aportes al sistema de seguridad social desde el 01/03/2019 hasta el reintegro, (iv) que se condene al pago de las cesantías e intereses a las cesantías adeudadas desde el 23/11/2017 al 01/03/2019, (v) que se condene al pago de las indemnizaciones por despido injusto prevista en el Art 64 CST, a la indemnización moratoria de que trata el Art. 65 del CST y a la indemnización del Art. 99 de la Ley 50 de 1990 y (v) que se condene a la indexación de las sumas, a lo ultra y extra petita y en costas.  </t>
  </si>
  <si>
    <t>TOTAL ADEUDADO</t>
  </si>
  <si>
    <t>INTERESES</t>
  </si>
  <si>
    <t>SALARIO DIA</t>
  </si>
  <si>
    <t>SALARIOS</t>
  </si>
  <si>
    <t>INDEMNIZACIÓN ARTÍCULO 64 DEL C.S.T.</t>
  </si>
  <si>
    <t>AÑO</t>
  </si>
  <si>
    <t>MES</t>
  </si>
  <si>
    <t>DÍA</t>
  </si>
  <si>
    <t>Tiempo Laborado en:</t>
  </si>
  <si>
    <t>Nota: Se liquida la indemnización por despido injusto teniendo como fecha final del contrato el 30/06/2024, fecha de la última prorroga del contrato afianzado en la póliza.</t>
  </si>
  <si>
    <t>Fecha de Terminación del contrato:</t>
  </si>
  <si>
    <t>Días</t>
  </si>
  <si>
    <t>Años</t>
  </si>
  <si>
    <t>Fech de inicio</t>
  </si>
  <si>
    <t>Ingreso Mensual:</t>
  </si>
  <si>
    <t>Ingreso Diario:</t>
  </si>
  <si>
    <t xml:space="preserve">Indemnización </t>
  </si>
  <si>
    <t>Total Indemnizacón:</t>
  </si>
  <si>
    <t>SANCIÓN POR NO CONSIGNACIÓN DE CESANTÍAS</t>
  </si>
  <si>
    <t>SANCIÓN</t>
  </si>
  <si>
    <t>INDEMNIZACIÓN DEL ARTÍCULO 65 DEL C.S.T.</t>
  </si>
  <si>
    <t>DIAS</t>
  </si>
  <si>
    <t>SALARIO DIARIO</t>
  </si>
  <si>
    <t>Total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</si>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</sst>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8" fillId="0" borderId="0" xfId="0" applyFont="1" applyAlignment="1">
      <alignment wrapText="1"/>
    </xf>
    <xf numFmtId="164" fontId="6" fillId="2" borderId="2" xfId="1" applyNumberFormat="1" applyFont="1" applyFill="1" applyBorder="1" applyAlignment="1">
      <alignment horizontal="center"/>
    </xf>
    <xf numFmtId="164" fontId="8" fillId="0" borderId="2" xfId="1" applyNumberFormat="1" applyFont="1" applyFill="1" applyBorder="1"/>
    <xf numFmtId="164" fontId="6" fillId="3" borderId="2" xfId="1" applyNumberFormat="1" applyFont="1" applyFill="1" applyBorder="1"/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68" fontId="5" fillId="2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9" fontId="8" fillId="0" borderId="1" xfId="0" applyNumberFormat="1" applyFont="1" applyBorder="1"/>
    <xf numFmtId="169" fontId="6" fillId="3" borderId="1" xfId="0" applyNumberFormat="1" applyFont="1" applyFill="1" applyBorder="1"/>
    <xf numFmtId="164" fontId="8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4" fillId="0" borderId="2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14" fontId="8" fillId="0" borderId="1" xfId="2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8" fontId="5" fillId="3" borderId="1" xfId="0" applyNumberFormat="1" applyFont="1" applyFill="1" applyBorder="1" applyAlignment="1">
      <alignment horizontal="center"/>
    </xf>
    <xf numFmtId="8" fontId="5" fillId="3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</cellXfs>
  <cellStyles count="21">
    <cellStyle name="Millares" xfId="1" builtinId="3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44"/>
  <sheetViews>
    <sheetView tabSelected="1" topLeftCell="A28" workbookViewId="0">
      <selection activeCell="F43" sqref="F43"/>
    </sheetView>
  </sheetViews>
  <sheetFormatPr baseColWidth="10" defaultColWidth="11.42578125" defaultRowHeight="15" x14ac:dyDescent="0.25"/>
  <cols>
    <col min="1" max="1" width="3.42578125" customWidth="1"/>
    <col min="2" max="2" width="16.42578125" style="1" customWidth="1"/>
    <col min="3" max="3" width="11.42578125" style="1"/>
    <col min="4" max="4" width="11.42578125" style="1" customWidth="1"/>
    <col min="5" max="5" width="13.85546875" style="1" customWidth="1"/>
    <col min="6" max="6" width="18.85546875" style="1" customWidth="1"/>
    <col min="7" max="7" width="17.42578125" style="1" customWidth="1"/>
  </cols>
  <sheetData>
    <row r="5" spans="1:15" s="1" customFormat="1" ht="15" customHeight="1" x14ac:dyDescent="0.2">
      <c r="A5" s="11"/>
      <c r="B5" s="53" t="s">
        <v>0</v>
      </c>
      <c r="C5" s="53"/>
      <c r="D5" s="53"/>
      <c r="E5" s="53"/>
      <c r="F5" s="53"/>
      <c r="G5" s="11"/>
      <c r="H5" s="11"/>
      <c r="I5" s="11"/>
      <c r="J5" s="11"/>
    </row>
    <row r="6" spans="1:15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5" ht="15" customHeight="1" x14ac:dyDescent="0.25">
      <c r="A7" s="11"/>
      <c r="B7" s="12" t="s">
        <v>1</v>
      </c>
      <c r="C7" s="12" t="s">
        <v>2</v>
      </c>
      <c r="D7" s="12" t="s">
        <v>3</v>
      </c>
      <c r="E7" s="12" t="s">
        <v>4</v>
      </c>
      <c r="F7" s="23" t="s">
        <v>5</v>
      </c>
      <c r="G7" s="55" t="s">
        <v>6</v>
      </c>
      <c r="H7" s="26"/>
      <c r="J7" s="54" t="s">
        <v>7</v>
      </c>
      <c r="K7" s="54"/>
      <c r="L7" s="54"/>
      <c r="M7" s="54"/>
      <c r="N7" s="54"/>
      <c r="O7" s="54"/>
    </row>
    <row r="8" spans="1:15" ht="15" customHeight="1" x14ac:dyDescent="0.25">
      <c r="A8" s="11"/>
      <c r="B8" s="14">
        <v>43062</v>
      </c>
      <c r="C8" s="14">
        <v>43100</v>
      </c>
      <c r="D8" s="15">
        <f>1200000+97032</f>
        <v>1297032</v>
      </c>
      <c r="E8" s="18">
        <f>DAYS360(B8,C8)+1</f>
        <v>39</v>
      </c>
      <c r="F8" s="24">
        <f>(D8*E8)/360</f>
        <v>140511.79999999999</v>
      </c>
      <c r="G8" s="55"/>
      <c r="H8" s="26"/>
      <c r="J8" s="54"/>
      <c r="K8" s="54"/>
      <c r="L8" s="54"/>
      <c r="M8" s="54"/>
      <c r="N8" s="54"/>
      <c r="O8" s="54"/>
    </row>
    <row r="9" spans="1:15" ht="15" customHeight="1" x14ac:dyDescent="0.25">
      <c r="A9" s="11"/>
      <c r="B9" s="14">
        <v>43101</v>
      </c>
      <c r="C9" s="14">
        <v>43465</v>
      </c>
      <c r="D9" s="15">
        <f>1200000+97032</f>
        <v>1297032</v>
      </c>
      <c r="E9" s="18">
        <f>DAYS360(B9,C9)</f>
        <v>360</v>
      </c>
      <c r="F9" s="24">
        <f t="shared" ref="F9:F10" si="0">(D9*E9)/360</f>
        <v>1297032</v>
      </c>
      <c r="G9" s="55"/>
      <c r="H9" s="26"/>
      <c r="J9" s="54"/>
      <c r="K9" s="54"/>
      <c r="L9" s="54"/>
      <c r="M9" s="54"/>
      <c r="N9" s="54"/>
      <c r="O9" s="54"/>
    </row>
    <row r="10" spans="1:15" x14ac:dyDescent="0.25">
      <c r="A10" s="11"/>
      <c r="B10" s="14">
        <v>43466</v>
      </c>
      <c r="C10" s="14">
        <v>43525</v>
      </c>
      <c r="D10" s="15">
        <f>1200000+97032</f>
        <v>1297032</v>
      </c>
      <c r="E10" s="18">
        <f>DAYS360(B10,C10)+1</f>
        <v>61</v>
      </c>
      <c r="F10" s="24">
        <f t="shared" si="0"/>
        <v>219774.86666666667</v>
      </c>
      <c r="G10" s="55"/>
      <c r="H10" s="26"/>
      <c r="J10" s="54"/>
      <c r="K10" s="54"/>
      <c r="L10" s="54"/>
      <c r="M10" s="54"/>
      <c r="N10" s="54"/>
      <c r="O10" s="54"/>
    </row>
    <row r="11" spans="1:15" ht="15" customHeight="1" x14ac:dyDescent="0.25">
      <c r="A11" s="11"/>
      <c r="B11" s="48" t="s">
        <v>8</v>
      </c>
      <c r="C11" s="48"/>
      <c r="D11" s="48"/>
      <c r="E11" s="48"/>
      <c r="F11" s="25">
        <f>SUM(F8:F10)</f>
        <v>1657318.6666666667</v>
      </c>
      <c r="G11" s="55"/>
      <c r="H11" s="26"/>
      <c r="J11" s="54"/>
      <c r="K11" s="54"/>
      <c r="L11" s="54"/>
      <c r="M11" s="54"/>
      <c r="N11" s="54"/>
      <c r="O11" s="54"/>
    </row>
    <row r="12" spans="1:15" ht="15" customHeight="1" x14ac:dyDescent="0.25">
      <c r="A12" s="11"/>
      <c r="B12" s="11"/>
      <c r="C12" s="11"/>
      <c r="D12" s="11"/>
      <c r="E12" s="11"/>
      <c r="F12" s="11"/>
      <c r="G12" s="55"/>
      <c r="H12" s="26"/>
      <c r="J12" s="54"/>
      <c r="K12" s="54"/>
      <c r="L12" s="54"/>
      <c r="M12" s="54"/>
      <c r="N12" s="54"/>
      <c r="O12" s="54"/>
    </row>
    <row r="13" spans="1:15" x14ac:dyDescent="0.25">
      <c r="A13" s="11"/>
      <c r="B13" s="12" t="s">
        <v>1</v>
      </c>
      <c r="C13" s="12" t="s">
        <v>2</v>
      </c>
      <c r="D13" s="12" t="s">
        <v>5</v>
      </c>
      <c r="E13" s="12" t="s">
        <v>4</v>
      </c>
      <c r="F13" s="23" t="s">
        <v>9</v>
      </c>
      <c r="G13" s="55"/>
      <c r="H13" s="26"/>
      <c r="J13" s="54"/>
      <c r="K13" s="54"/>
      <c r="L13" s="54"/>
      <c r="M13" s="54"/>
      <c r="N13" s="54"/>
      <c r="O13" s="54"/>
    </row>
    <row r="14" spans="1:15" x14ac:dyDescent="0.25">
      <c r="A14" s="11"/>
      <c r="B14" s="14">
        <v>43062</v>
      </c>
      <c r="C14" s="14">
        <v>43100</v>
      </c>
      <c r="D14" s="33">
        <f>F8</f>
        <v>140511.79999999999</v>
      </c>
      <c r="E14" s="18">
        <f>DAYS360(B14,C14)+1</f>
        <v>39</v>
      </c>
      <c r="F14" s="18">
        <f>(D14*E14*0.12)/360</f>
        <v>1826.6533999999997</v>
      </c>
      <c r="G14" s="55"/>
      <c r="H14" s="26"/>
      <c r="J14" s="54"/>
      <c r="K14" s="54"/>
      <c r="L14" s="54"/>
      <c r="M14" s="54"/>
      <c r="N14" s="54"/>
      <c r="O14" s="54"/>
    </row>
    <row r="15" spans="1:15" x14ac:dyDescent="0.25">
      <c r="A15" s="11"/>
      <c r="B15" s="14">
        <v>43101</v>
      </c>
      <c r="C15" s="14">
        <v>43465</v>
      </c>
      <c r="D15" s="33">
        <f>F9</f>
        <v>1297032</v>
      </c>
      <c r="E15" s="18">
        <f>DAYS360(B15,C15)</f>
        <v>360</v>
      </c>
      <c r="F15" s="18">
        <f t="shared" ref="F15:F16" si="1">(D15*E15*0.12)/360</f>
        <v>155643.84</v>
      </c>
      <c r="G15" s="55"/>
      <c r="H15" s="26"/>
      <c r="J15" s="54"/>
      <c r="K15" s="54"/>
      <c r="L15" s="54"/>
      <c r="M15" s="54"/>
      <c r="N15" s="54"/>
      <c r="O15" s="54"/>
    </row>
    <row r="16" spans="1:15" ht="14.25" customHeight="1" x14ac:dyDescent="0.25">
      <c r="A16" s="11"/>
      <c r="B16" s="14">
        <v>43466</v>
      </c>
      <c r="C16" s="14">
        <v>43525</v>
      </c>
      <c r="D16" s="20">
        <f>+F10</f>
        <v>219774.86666666667</v>
      </c>
      <c r="E16" s="18">
        <f>DAYS360(B16,C16)+1</f>
        <v>61</v>
      </c>
      <c r="F16" s="18">
        <f t="shared" si="1"/>
        <v>4468.755622222222</v>
      </c>
      <c r="G16" s="55"/>
      <c r="H16" s="22"/>
      <c r="J16" s="54"/>
      <c r="K16" s="54"/>
      <c r="L16" s="54"/>
      <c r="M16" s="54"/>
      <c r="N16" s="54"/>
      <c r="O16" s="54"/>
    </row>
    <row r="17" spans="1:18" s="1" customFormat="1" ht="15" customHeight="1" x14ac:dyDescent="0.2">
      <c r="A17" s="11"/>
      <c r="B17" s="48" t="s">
        <v>8</v>
      </c>
      <c r="C17" s="48"/>
      <c r="D17" s="48"/>
      <c r="E17" s="48"/>
      <c r="F17" s="19">
        <f>SUM(F14:F16)</f>
        <v>161939.24902222224</v>
      </c>
      <c r="G17" s="11"/>
      <c r="H17" s="22"/>
      <c r="I17" s="22"/>
      <c r="J17" s="22"/>
      <c r="K17" s="26"/>
      <c r="L17" s="26"/>
      <c r="M17" s="26"/>
      <c r="N17" s="26"/>
      <c r="O17" s="26"/>
      <c r="P17" s="26"/>
      <c r="Q17" s="26"/>
      <c r="R17" s="26"/>
    </row>
    <row r="18" spans="1:18" s="1" customFormat="1" ht="12" customHeight="1" x14ac:dyDescent="0.2">
      <c r="A18" s="11"/>
      <c r="B18" s="11"/>
      <c r="C18" s="11"/>
      <c r="D18" s="11"/>
      <c r="E18" s="11"/>
      <c r="F18" s="11"/>
      <c r="G18" s="11"/>
      <c r="H18" s="22"/>
      <c r="I18" s="22"/>
      <c r="J18" s="22"/>
      <c r="K18" s="26"/>
      <c r="L18" s="26"/>
      <c r="M18" s="26"/>
      <c r="N18" s="26"/>
      <c r="O18" s="26"/>
      <c r="P18" s="26"/>
      <c r="Q18" s="26"/>
      <c r="R18" s="26"/>
    </row>
    <row r="19" spans="1:18" s="1" customFormat="1" ht="12" customHeight="1" x14ac:dyDescent="0.2">
      <c r="A19" s="11"/>
      <c r="B19" s="12" t="s">
        <v>1</v>
      </c>
      <c r="C19" s="12" t="s">
        <v>2</v>
      </c>
      <c r="D19" s="12" t="s">
        <v>10</v>
      </c>
      <c r="E19" s="12" t="s">
        <v>4</v>
      </c>
      <c r="F19" s="17" t="s">
        <v>11</v>
      </c>
      <c r="G19" s="22"/>
      <c r="H19" s="22"/>
      <c r="I19" s="22"/>
      <c r="J19" s="26"/>
      <c r="K19" s="26"/>
      <c r="L19" s="26"/>
      <c r="M19" s="26"/>
      <c r="N19" s="26"/>
      <c r="O19" s="26"/>
      <c r="P19" s="26"/>
      <c r="Q19" s="26"/>
    </row>
    <row r="20" spans="1:18" s="1" customFormat="1" ht="12" customHeight="1" x14ac:dyDescent="0.2">
      <c r="A20" s="11"/>
      <c r="B20" s="14">
        <v>43525</v>
      </c>
      <c r="C20" s="14">
        <v>45473</v>
      </c>
      <c r="D20" s="20">
        <f>1200000/30</f>
        <v>40000</v>
      </c>
      <c r="E20" s="18">
        <f>DAYS360(B20,C20)+1</f>
        <v>1920</v>
      </c>
      <c r="F20" s="18">
        <f>D20*E20</f>
        <v>76800000</v>
      </c>
      <c r="G20" s="11"/>
      <c r="H20" s="22"/>
      <c r="I20" s="22"/>
      <c r="J20" s="22"/>
      <c r="K20" s="26"/>
      <c r="L20" s="26"/>
      <c r="M20" s="26"/>
      <c r="N20" s="26"/>
      <c r="O20" s="26"/>
      <c r="P20" s="26"/>
      <c r="Q20" s="26"/>
      <c r="R20" s="26"/>
    </row>
    <row r="21" spans="1:18" s="1" customFormat="1" ht="12" customHeight="1" x14ac:dyDescent="0.2">
      <c r="A21" s="11"/>
      <c r="B21" s="48" t="s">
        <v>8</v>
      </c>
      <c r="C21" s="48"/>
      <c r="D21" s="48"/>
      <c r="E21" s="48"/>
      <c r="F21" s="19">
        <f>SUM(F20:F20)</f>
        <v>76800000</v>
      </c>
      <c r="G21" s="11"/>
      <c r="H21" s="11"/>
      <c r="K21" s="26"/>
      <c r="L21" s="26"/>
      <c r="M21" s="26"/>
      <c r="N21" s="26"/>
      <c r="O21" s="26"/>
      <c r="P21" s="26"/>
      <c r="Q21" s="26"/>
      <c r="R21" s="26"/>
    </row>
    <row r="22" spans="1:18" s="1" customFormat="1" ht="1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26"/>
      <c r="L22" s="26"/>
      <c r="M22" s="26"/>
      <c r="N22" s="26"/>
      <c r="O22" s="26"/>
      <c r="P22" s="26"/>
      <c r="Q22" s="26"/>
      <c r="R22" s="26"/>
    </row>
    <row r="23" spans="1:18" x14ac:dyDescent="0.25">
      <c r="A23" s="11"/>
      <c r="B23" s="47" t="s">
        <v>12</v>
      </c>
      <c r="C23" s="47"/>
      <c r="D23" s="47"/>
      <c r="E23" s="47"/>
      <c r="F23" s="47"/>
      <c r="G23" s="47"/>
      <c r="H23" s="47"/>
      <c r="I23" s="47"/>
      <c r="J23" s="11"/>
      <c r="K23" s="26"/>
      <c r="L23" s="26"/>
      <c r="M23" s="26"/>
      <c r="N23" s="26"/>
      <c r="O23" s="26"/>
      <c r="P23" s="26"/>
      <c r="Q23" s="26"/>
      <c r="R23" s="26"/>
    </row>
    <row r="24" spans="1:18" ht="15" customHeight="1" x14ac:dyDescent="0.25">
      <c r="A24" s="11"/>
      <c r="B24" s="50"/>
      <c r="C24" s="50"/>
      <c r="D24" s="50"/>
      <c r="E24" s="2" t="s">
        <v>13</v>
      </c>
      <c r="F24" s="2" t="s">
        <v>14</v>
      </c>
      <c r="G24" s="2" t="s">
        <v>15</v>
      </c>
      <c r="H24" s="51" t="s">
        <v>16</v>
      </c>
      <c r="I24" s="52"/>
      <c r="J24" s="36" t="s">
        <v>17</v>
      </c>
      <c r="K24" s="36"/>
      <c r="L24" s="28"/>
      <c r="M24" s="26"/>
      <c r="N24" s="26"/>
      <c r="O24" s="26"/>
      <c r="P24" s="26"/>
      <c r="Q24" s="26"/>
    </row>
    <row r="25" spans="1:18" x14ac:dyDescent="0.25">
      <c r="A25" s="11"/>
      <c r="B25" s="37" t="s">
        <v>18</v>
      </c>
      <c r="C25" s="37"/>
      <c r="D25" s="37"/>
      <c r="E25" s="3">
        <v>2024</v>
      </c>
      <c r="F25" s="3">
        <v>6</v>
      </c>
      <c r="G25" s="4">
        <v>30</v>
      </c>
      <c r="H25" s="5" t="s">
        <v>19</v>
      </c>
      <c r="I25" s="29" t="s">
        <v>20</v>
      </c>
      <c r="J25" s="36"/>
      <c r="K25" s="36"/>
      <c r="L25" s="28"/>
      <c r="M25" s="26"/>
      <c r="N25" s="26"/>
      <c r="O25" s="26"/>
      <c r="P25" s="26"/>
      <c r="Q25" s="26"/>
    </row>
    <row r="26" spans="1:18" x14ac:dyDescent="0.25">
      <c r="A26" s="11"/>
      <c r="B26" s="37" t="s">
        <v>21</v>
      </c>
      <c r="C26" s="37"/>
      <c r="D26" s="37"/>
      <c r="E26" s="6">
        <v>2017</v>
      </c>
      <c r="F26" s="6">
        <v>11</v>
      </c>
      <c r="G26" s="7">
        <v>23</v>
      </c>
      <c r="H26" s="8">
        <f>(E25-E26)*360+(F25-F26)*30+(G25-G26+1)</f>
        <v>2378</v>
      </c>
      <c r="I26" s="30">
        <f>H26/360</f>
        <v>6.6055555555555552</v>
      </c>
      <c r="J26" s="36"/>
      <c r="K26" s="36"/>
      <c r="L26" s="28"/>
      <c r="M26" s="26"/>
      <c r="N26" s="26"/>
      <c r="O26" s="26"/>
      <c r="P26" s="26"/>
      <c r="Q26" s="26"/>
    </row>
    <row r="27" spans="1:18" x14ac:dyDescent="0.25">
      <c r="A27" s="11"/>
      <c r="B27" s="37" t="s">
        <v>22</v>
      </c>
      <c r="C27" s="37"/>
      <c r="D27" s="37"/>
      <c r="E27" s="38">
        <v>1200000</v>
      </c>
      <c r="F27" s="39"/>
      <c r="G27" s="39"/>
      <c r="H27" s="39"/>
      <c r="I27" s="40"/>
      <c r="J27" s="36"/>
      <c r="K27" s="36"/>
      <c r="L27" s="28"/>
      <c r="M27" s="26"/>
      <c r="N27" s="26"/>
      <c r="O27" s="26"/>
      <c r="P27" s="26"/>
      <c r="Q27" s="26"/>
    </row>
    <row r="28" spans="1:18" x14ac:dyDescent="0.25">
      <c r="A28" s="11"/>
      <c r="B28" s="37" t="s">
        <v>23</v>
      </c>
      <c r="C28" s="37"/>
      <c r="D28" s="37"/>
      <c r="E28" s="41">
        <f>E27/30</f>
        <v>40000</v>
      </c>
      <c r="F28" s="41"/>
      <c r="G28" s="41"/>
      <c r="H28" s="41"/>
      <c r="I28" s="42"/>
      <c r="J28" s="36"/>
      <c r="K28" s="36"/>
      <c r="L28" s="28"/>
    </row>
    <row r="29" spans="1:18" x14ac:dyDescent="0.25">
      <c r="A29" s="11"/>
      <c r="B29" s="37" t="s">
        <v>24</v>
      </c>
      <c r="C29" s="37"/>
      <c r="D29" s="37"/>
      <c r="E29" s="41">
        <f>E28*H26</f>
        <v>95120000</v>
      </c>
      <c r="F29" s="41"/>
      <c r="G29" s="41"/>
      <c r="H29" s="41"/>
      <c r="I29" s="42"/>
      <c r="J29" s="36"/>
      <c r="K29" s="36"/>
      <c r="L29" s="28"/>
    </row>
    <row r="30" spans="1:18" x14ac:dyDescent="0.25">
      <c r="A30" s="11"/>
      <c r="B30" s="35" t="s">
        <v>25</v>
      </c>
      <c r="C30" s="35"/>
      <c r="D30" s="35"/>
      <c r="E30" s="9"/>
      <c r="F30" s="45">
        <f>SUM(E29:F29)</f>
        <v>95120000</v>
      </c>
      <c r="G30" s="45"/>
      <c r="H30" s="45"/>
      <c r="I30" s="46"/>
      <c r="J30" s="28"/>
      <c r="K30" s="28"/>
      <c r="L30" s="28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8" x14ac:dyDescent="0.25">
      <c r="A32" s="11"/>
      <c r="B32" s="47" t="s">
        <v>26</v>
      </c>
      <c r="C32" s="47"/>
      <c r="D32" s="47"/>
      <c r="E32" s="47"/>
      <c r="F32" s="47"/>
      <c r="G32" s="11"/>
      <c r="H32" s="11"/>
      <c r="I32" s="11"/>
      <c r="J32" s="11"/>
    </row>
    <row r="33" spans="1:10" ht="15" customHeight="1" x14ac:dyDescent="0.25">
      <c r="A33" s="11"/>
      <c r="B33" s="12" t="s">
        <v>1</v>
      </c>
      <c r="C33" s="12" t="s">
        <v>2</v>
      </c>
      <c r="D33" s="12" t="s">
        <v>3</v>
      </c>
      <c r="E33" s="12" t="s">
        <v>4</v>
      </c>
      <c r="F33" s="13" t="s">
        <v>27</v>
      </c>
      <c r="G33"/>
    </row>
    <row r="34" spans="1:10" ht="15" customHeight="1" x14ac:dyDescent="0.25">
      <c r="A34" s="11"/>
      <c r="B34" s="14">
        <v>43146</v>
      </c>
      <c r="C34" s="14">
        <v>43510</v>
      </c>
      <c r="D34" s="15">
        <v>1200000</v>
      </c>
      <c r="E34" s="16">
        <f t="shared" ref="E34" si="2">DAYS360(B34,C34)+1</f>
        <v>360</v>
      </c>
      <c r="F34" s="16">
        <f t="shared" ref="F34:F35" si="3">(D34/30)*E34</f>
        <v>14400000</v>
      </c>
      <c r="G34"/>
    </row>
    <row r="35" spans="1:10" x14ac:dyDescent="0.25">
      <c r="A35" s="11"/>
      <c r="B35" s="14">
        <v>43511</v>
      </c>
      <c r="C35" s="14">
        <v>43525</v>
      </c>
      <c r="D35" s="15">
        <v>1200000</v>
      </c>
      <c r="E35" s="16">
        <f t="shared" ref="E35" si="4">DAYS360(B35,C35)+1</f>
        <v>17</v>
      </c>
      <c r="F35" s="16">
        <f t="shared" si="3"/>
        <v>680000</v>
      </c>
      <c r="G35"/>
    </row>
    <row r="36" spans="1:10" x14ac:dyDescent="0.25">
      <c r="A36" s="11"/>
      <c r="B36" s="48" t="s">
        <v>8</v>
      </c>
      <c r="C36" s="48"/>
      <c r="D36" s="48"/>
      <c r="E36" s="48"/>
      <c r="F36" s="19">
        <f>SUM(F34:F35)</f>
        <v>15080000</v>
      </c>
      <c r="G36"/>
    </row>
    <row r="37" spans="1:1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15" customHeight="1" x14ac:dyDescent="0.25">
      <c r="A38" s="11"/>
      <c r="B38" s="47" t="s">
        <v>28</v>
      </c>
      <c r="C38" s="47"/>
      <c r="D38" s="47"/>
      <c r="E38" s="47"/>
      <c r="F38" s="47"/>
      <c r="G38" s="47"/>
    </row>
    <row r="39" spans="1:10" ht="14.45" customHeight="1" x14ac:dyDescent="0.25">
      <c r="A39" s="11"/>
      <c r="B39" s="44" t="s">
        <v>1</v>
      </c>
      <c r="C39" s="44"/>
      <c r="D39" s="44" t="s">
        <v>29</v>
      </c>
      <c r="E39" s="44"/>
      <c r="F39" s="27" t="s">
        <v>30</v>
      </c>
      <c r="G39" s="27" t="s">
        <v>31</v>
      </c>
    </row>
    <row r="40" spans="1:10" x14ac:dyDescent="0.25">
      <c r="A40" s="11"/>
      <c r="B40" s="43">
        <v>43525</v>
      </c>
      <c r="C40" s="43"/>
      <c r="D40" s="49">
        <v>720</v>
      </c>
      <c r="E40" s="49"/>
      <c r="F40" s="31">
        <f>(1200000)/30</f>
        <v>40000</v>
      </c>
      <c r="G40" s="32">
        <f>D40*F40</f>
        <v>28800000</v>
      </c>
    </row>
    <row r="41" spans="1:10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11"/>
      <c r="B42" s="34" t="s">
        <v>32</v>
      </c>
      <c r="C42" s="34"/>
      <c r="D42" s="34"/>
      <c r="E42" s="34"/>
      <c r="F42" s="21">
        <f>F11+F17+F21+F30+F36+G40</f>
        <v>217619257.91568887</v>
      </c>
      <c r="G42" s="11"/>
      <c r="H42" s="11"/>
      <c r="I42" s="11"/>
      <c r="J42" s="11"/>
    </row>
    <row r="43" spans="1:10" x14ac:dyDescent="0.25">
      <c r="A43" s="11"/>
      <c r="B43" s="11"/>
      <c r="C43" s="11"/>
      <c r="D43" s="11"/>
      <c r="E43" s="11"/>
      <c r="F43" s="11"/>
      <c r="G43" s="11"/>
      <c r="H43" s="10"/>
      <c r="I43" s="10"/>
      <c r="J43" s="11"/>
    </row>
    <row r="44" spans="1:10" x14ac:dyDescent="0.25">
      <c r="A44" s="10"/>
    </row>
  </sheetData>
  <mergeCells count="28">
    <mergeCell ref="B5:F5"/>
    <mergeCell ref="B11:E11"/>
    <mergeCell ref="B17:E17"/>
    <mergeCell ref="B21:E21"/>
    <mergeCell ref="J7:O16"/>
    <mergeCell ref="G7:G16"/>
    <mergeCell ref="B23:I23"/>
    <mergeCell ref="B24:D24"/>
    <mergeCell ref="H24:I24"/>
    <mergeCell ref="B25:D25"/>
    <mergeCell ref="B28:D28"/>
    <mergeCell ref="E28:I28"/>
    <mergeCell ref="B42:E42"/>
    <mergeCell ref="B30:D30"/>
    <mergeCell ref="J24:K29"/>
    <mergeCell ref="B26:D26"/>
    <mergeCell ref="B27:D27"/>
    <mergeCell ref="E27:I27"/>
    <mergeCell ref="B29:D29"/>
    <mergeCell ref="E29:I29"/>
    <mergeCell ref="B40:C40"/>
    <mergeCell ref="B39:C39"/>
    <mergeCell ref="F30:I30"/>
    <mergeCell ref="B32:F32"/>
    <mergeCell ref="B36:E36"/>
    <mergeCell ref="D39:E39"/>
    <mergeCell ref="D40:E40"/>
    <mergeCell ref="B38:G38"/>
  </mergeCells>
  <pageMargins left="0.7" right="0.7" top="0.75" bottom="0.75" header="0.3" footer="0.3"/>
  <pageSetup paperSize="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ACERJC</cp:lastModifiedBy>
  <cp:revision/>
  <dcterms:created xsi:type="dcterms:W3CDTF">2023-05-23T18:21:31Z</dcterms:created>
  <dcterms:modified xsi:type="dcterms:W3CDTF">2024-11-30T00:15:09Z</dcterms:modified>
  <cp:category/>
  <cp:contentStatus/>
</cp:coreProperties>
</file>