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Z:\AOP2\Informes\AÑO 2023\08-AGOSTO\22-08-2023\AXA\"/>
    </mc:Choice>
  </mc:AlternateContent>
  <xr:revisionPtr revIDLastSave="0" documentId="13_ncr:20001_{9E36C11F-45CF-478F-B4B5-B9B2A8AD1FE2}" xr6:coauthVersionLast="47" xr6:coauthVersionMax="47" xr10:uidLastSave="{00000000-0000-0000-0000-000000000000}"/>
  <bookViews>
    <workbookView xWindow="-120" yWindow="-120" windowWidth="24240" windowHeight="13140" xr2:uid="{00000000-000D-0000-FFFF-FFFF00000000}"/>
  </bookViews>
  <sheets>
    <sheet name="Base" sheetId="1" r:id="rId1"/>
    <sheet name="PARAMETROS" sheetId="2" state="hidden" r:id="rId2"/>
  </sheets>
  <externalReferences>
    <externalReference r:id="rId3"/>
  </externalReferences>
  <definedNames>
    <definedName name="Z_331D9F73_79E4_48FC_8908_54C777E537D4_.wvu.FilterData" localSheetId="0" hidden="1">Base!$A$1:$AI$15</definedName>
    <definedName name="Z_6E90557B_F53E_49C3_92A7_781D5A7D125A_.wvu.FilterData" localSheetId="0" hidden="1">Base!$A$1:$AI$15</definedName>
    <definedName name="Z_AACCBE9A_2F57_45B5_A638_6613F28CF707_.wvu.FilterData" localSheetId="0" hidden="1">Base!$A$1:$AI$15</definedName>
    <definedName name="Z_E1AB3906_546F_4A99_A6E8_D2D370C28EF6_.wvu.FilterData" localSheetId="0" hidden="1">Base!$A$1:$AI$15</definedName>
  </definedNames>
  <calcPr calcId="191029"/>
  <customWorkbookViews>
    <customWorkbookView name="Filtro 3" guid="{331D9F73-79E4-48FC-8908-54C777E537D4}" maximized="1" windowWidth="0" windowHeight="0" activeSheetId="0"/>
    <customWorkbookView name="Filtro 2" guid="{E1AB3906-546F-4A99-A6E8-D2D370C28EF6}" maximized="1" windowWidth="0" windowHeight="0" activeSheetId="0"/>
    <customWorkbookView name="Filtro 1" guid="{AACCBE9A-2F57-45B5-A638-6613F28CF707}" maximized="1" windowWidth="0" windowHeight="0" activeSheetId="0"/>
    <customWorkbookView name="Filtro 4" guid="{6E90557B-F53E-49C3-92A7-781D5A7D125A}" maximized="1" windowWidth="0" windowHeight="0" activeSheetId="0"/>
  </customWorkbookViews>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98" i="2" l="1"/>
  <c r="N398" i="2"/>
  <c r="M398" i="2"/>
  <c r="L398" i="2"/>
  <c r="O397" i="2"/>
  <c r="N397" i="2"/>
  <c r="M397" i="2"/>
  <c r="L397" i="2"/>
  <c r="O396" i="2"/>
  <c r="N396" i="2"/>
  <c r="M396" i="2"/>
  <c r="L396" i="2"/>
  <c r="O395" i="2"/>
  <c r="N395" i="2"/>
  <c r="M395" i="2"/>
  <c r="L395" i="2"/>
  <c r="O394" i="2"/>
  <c r="N394" i="2"/>
  <c r="M394" i="2"/>
  <c r="L394" i="2"/>
  <c r="O393" i="2"/>
  <c r="N393" i="2"/>
  <c r="M393" i="2"/>
  <c r="L393" i="2"/>
  <c r="O392" i="2"/>
  <c r="N392" i="2"/>
  <c r="M392" i="2"/>
  <c r="L392" i="2"/>
  <c r="O391" i="2"/>
  <c r="N391" i="2"/>
  <c r="M391" i="2"/>
  <c r="L391" i="2"/>
  <c r="O390" i="2"/>
  <c r="N390" i="2"/>
  <c r="M390" i="2"/>
  <c r="L390" i="2"/>
  <c r="O389" i="2"/>
  <c r="N389" i="2"/>
  <c r="M389" i="2"/>
  <c r="L389" i="2"/>
  <c r="O388" i="2"/>
  <c r="N388" i="2"/>
  <c r="M388" i="2"/>
  <c r="L388" i="2"/>
  <c r="O387" i="2"/>
  <c r="N387" i="2"/>
  <c r="M387" i="2"/>
  <c r="L387" i="2"/>
  <c r="O386" i="2"/>
  <c r="N386" i="2"/>
  <c r="M386" i="2"/>
  <c r="L386" i="2"/>
  <c r="O385" i="2"/>
  <c r="N385" i="2"/>
  <c r="M385" i="2"/>
  <c r="L385" i="2"/>
  <c r="O384" i="2"/>
  <c r="N384" i="2"/>
  <c r="M384" i="2"/>
  <c r="L384" i="2"/>
  <c r="O383" i="2"/>
  <c r="N383" i="2"/>
  <c r="M383" i="2"/>
  <c r="L383" i="2"/>
  <c r="O382" i="2"/>
  <c r="N382" i="2"/>
  <c r="M382" i="2"/>
  <c r="L382" i="2"/>
  <c r="O381" i="2"/>
  <c r="N381" i="2"/>
  <c r="M381" i="2"/>
  <c r="L381" i="2"/>
  <c r="O380" i="2"/>
  <c r="N380" i="2"/>
  <c r="M380" i="2"/>
  <c r="L380" i="2"/>
  <c r="O379" i="2"/>
  <c r="N379" i="2"/>
  <c r="M379" i="2"/>
  <c r="L379" i="2"/>
  <c r="O378" i="2"/>
  <c r="N378" i="2"/>
  <c r="M378" i="2"/>
  <c r="L378" i="2"/>
  <c r="O377" i="2"/>
  <c r="N377" i="2"/>
  <c r="M377" i="2"/>
  <c r="L377" i="2"/>
  <c r="O376" i="2"/>
  <c r="N376" i="2"/>
  <c r="M376" i="2"/>
  <c r="L376" i="2"/>
  <c r="O375" i="2"/>
  <c r="N375" i="2"/>
  <c r="M375" i="2"/>
  <c r="L375" i="2"/>
  <c r="O374" i="2"/>
  <c r="N374" i="2"/>
  <c r="M374" i="2"/>
  <c r="L374" i="2"/>
  <c r="O373" i="2"/>
  <c r="N373" i="2"/>
  <c r="M373" i="2"/>
  <c r="L373" i="2"/>
  <c r="M372" i="2"/>
  <c r="O371" i="2"/>
  <c r="N371" i="2"/>
  <c r="M371" i="2"/>
  <c r="L371" i="2"/>
  <c r="O370" i="2"/>
  <c r="N370" i="2"/>
  <c r="M370" i="2"/>
  <c r="L370" i="2"/>
  <c r="O369" i="2"/>
  <c r="N369" i="2"/>
  <c r="M369" i="2"/>
  <c r="L369" i="2"/>
  <c r="O368" i="2"/>
  <c r="N368" i="2"/>
  <c r="M368" i="2"/>
  <c r="L368" i="2"/>
  <c r="O367" i="2"/>
  <c r="N367" i="2"/>
  <c r="M367" i="2"/>
  <c r="L367" i="2"/>
  <c r="O366" i="2"/>
  <c r="N366" i="2"/>
  <c r="M366" i="2"/>
  <c r="L366" i="2"/>
  <c r="O365" i="2"/>
  <c r="N365" i="2"/>
  <c r="M365" i="2"/>
  <c r="L365" i="2"/>
  <c r="O364" i="2"/>
  <c r="N364" i="2"/>
  <c r="M364" i="2"/>
  <c r="L364" i="2"/>
  <c r="O363" i="2"/>
  <c r="N363" i="2"/>
  <c r="M363" i="2"/>
  <c r="L363" i="2"/>
  <c r="O362" i="2"/>
  <c r="N362" i="2"/>
  <c r="M362" i="2"/>
  <c r="L362" i="2"/>
  <c r="O361" i="2"/>
  <c r="N361" i="2"/>
  <c r="M361" i="2"/>
  <c r="L361" i="2"/>
  <c r="O360" i="2"/>
  <c r="N360" i="2"/>
  <c r="M360" i="2"/>
  <c r="L360" i="2"/>
  <c r="O359" i="2"/>
  <c r="N359" i="2"/>
  <c r="M359" i="2"/>
  <c r="L359" i="2"/>
  <c r="O358" i="2"/>
  <c r="N358" i="2"/>
  <c r="M358" i="2"/>
  <c r="L358" i="2"/>
  <c r="O357" i="2"/>
  <c r="N357" i="2"/>
  <c r="M357" i="2"/>
  <c r="L357" i="2"/>
  <c r="O356" i="2"/>
  <c r="N356" i="2"/>
  <c r="M356" i="2"/>
  <c r="L356" i="2"/>
  <c r="O355" i="2"/>
  <c r="N355" i="2"/>
  <c r="M355" i="2"/>
  <c r="L355" i="2"/>
  <c r="O354" i="2"/>
  <c r="N354" i="2"/>
  <c r="M354" i="2"/>
  <c r="L354" i="2"/>
  <c r="O353" i="2"/>
  <c r="N353" i="2"/>
  <c r="M353" i="2"/>
  <c r="L353" i="2"/>
  <c r="O352" i="2"/>
  <c r="N352" i="2"/>
  <c r="M352" i="2"/>
  <c r="L352" i="2"/>
  <c r="O351" i="2"/>
  <c r="N351" i="2"/>
  <c r="M351" i="2"/>
  <c r="L351" i="2"/>
  <c r="O350" i="2"/>
  <c r="N350" i="2"/>
  <c r="M350" i="2"/>
  <c r="L350" i="2"/>
  <c r="O349" i="2"/>
  <c r="N349" i="2"/>
  <c r="M349" i="2"/>
  <c r="L349" i="2"/>
  <c r="O348" i="2"/>
  <c r="N348" i="2"/>
  <c r="M348" i="2"/>
  <c r="L348" i="2"/>
  <c r="O347" i="2"/>
  <c r="N347" i="2"/>
  <c r="M347" i="2"/>
  <c r="L347" i="2"/>
  <c r="O346" i="2"/>
  <c r="N346" i="2"/>
  <c r="M346" i="2"/>
  <c r="L346" i="2"/>
  <c r="O345" i="2"/>
  <c r="N345" i="2"/>
  <c r="M345" i="2"/>
  <c r="L345" i="2"/>
  <c r="O344" i="2"/>
  <c r="N344" i="2"/>
  <c r="M344" i="2"/>
  <c r="L344" i="2"/>
  <c r="O343" i="2"/>
  <c r="N343" i="2"/>
  <c r="M343" i="2"/>
  <c r="L343" i="2"/>
  <c r="O342" i="2"/>
  <c r="N342" i="2"/>
  <c r="M342" i="2"/>
  <c r="L342" i="2"/>
  <c r="O341" i="2"/>
  <c r="N341" i="2"/>
  <c r="M341" i="2"/>
  <c r="L341" i="2"/>
  <c r="O340" i="2"/>
  <c r="N340" i="2"/>
  <c r="M340" i="2"/>
  <c r="L340" i="2"/>
  <c r="O339" i="2"/>
  <c r="N339" i="2"/>
  <c r="M339" i="2"/>
  <c r="L339" i="2"/>
  <c r="O338" i="2"/>
  <c r="N338" i="2"/>
  <c r="M338" i="2"/>
  <c r="L338" i="2"/>
  <c r="O337" i="2"/>
  <c r="N337" i="2"/>
  <c r="M337" i="2"/>
  <c r="L337" i="2"/>
  <c r="O336" i="2"/>
  <c r="N336" i="2"/>
  <c r="M336" i="2"/>
  <c r="L336" i="2"/>
  <c r="O335" i="2"/>
  <c r="N335" i="2"/>
  <c r="M335" i="2"/>
  <c r="L335" i="2"/>
  <c r="O334" i="2"/>
  <c r="N334" i="2"/>
  <c r="M334" i="2"/>
  <c r="L334" i="2"/>
  <c r="O333" i="2"/>
  <c r="N333" i="2"/>
  <c r="M333" i="2"/>
  <c r="L333" i="2"/>
  <c r="O332" i="2"/>
  <c r="N332" i="2"/>
  <c r="M332" i="2"/>
  <c r="L332" i="2"/>
  <c r="O331" i="2"/>
  <c r="N331" i="2"/>
  <c r="M331" i="2"/>
  <c r="L331" i="2"/>
  <c r="O330" i="2"/>
  <c r="N330" i="2"/>
  <c r="M330" i="2"/>
  <c r="L330" i="2"/>
  <c r="O329" i="2"/>
  <c r="N329" i="2"/>
  <c r="M329" i="2"/>
  <c r="L329" i="2"/>
  <c r="O328" i="2"/>
  <c r="N328" i="2"/>
  <c r="M328" i="2"/>
  <c r="L328" i="2"/>
  <c r="O327" i="2"/>
  <c r="N327" i="2"/>
  <c r="M327" i="2"/>
  <c r="L327" i="2"/>
  <c r="O326" i="2"/>
  <c r="N326" i="2"/>
  <c r="M326" i="2"/>
  <c r="L326" i="2"/>
  <c r="O325" i="2"/>
  <c r="N325" i="2"/>
  <c r="M325" i="2"/>
  <c r="L325" i="2"/>
  <c r="O324" i="2"/>
  <c r="N324" i="2"/>
  <c r="M324" i="2"/>
  <c r="L324" i="2"/>
  <c r="O323" i="2"/>
  <c r="N323" i="2"/>
  <c r="M323" i="2"/>
  <c r="L323" i="2"/>
  <c r="O322" i="2"/>
  <c r="N322" i="2"/>
  <c r="M322" i="2"/>
  <c r="L322" i="2"/>
  <c r="O321" i="2"/>
  <c r="N321" i="2"/>
  <c r="M321" i="2"/>
  <c r="L321" i="2"/>
  <c r="O320" i="2"/>
  <c r="N320" i="2"/>
  <c r="M320" i="2"/>
  <c r="L320" i="2"/>
  <c r="O319" i="2"/>
  <c r="N319" i="2"/>
  <c r="M319" i="2"/>
  <c r="L319" i="2"/>
  <c r="O318" i="2"/>
  <c r="N318" i="2"/>
  <c r="M318" i="2"/>
  <c r="L318" i="2"/>
  <c r="O317" i="2"/>
  <c r="N317" i="2"/>
  <c r="M317" i="2"/>
  <c r="L317" i="2"/>
  <c r="O316" i="2"/>
  <c r="N316" i="2"/>
  <c r="M316" i="2"/>
  <c r="L316" i="2"/>
  <c r="O315" i="2"/>
  <c r="N315" i="2"/>
  <c r="M315" i="2"/>
  <c r="L315" i="2"/>
  <c r="O314" i="2"/>
  <c r="N314" i="2"/>
  <c r="M314" i="2"/>
  <c r="L314" i="2"/>
  <c r="O313" i="2"/>
  <c r="N313" i="2"/>
  <c r="M313" i="2"/>
  <c r="L313" i="2"/>
  <c r="O312" i="2"/>
  <c r="N312" i="2"/>
  <c r="M312" i="2"/>
  <c r="L312" i="2"/>
  <c r="O311" i="2"/>
  <c r="N311" i="2"/>
  <c r="M311" i="2"/>
  <c r="L311" i="2"/>
  <c r="O310" i="2"/>
  <c r="N310" i="2"/>
  <c r="M310" i="2"/>
  <c r="L310" i="2"/>
  <c r="O309" i="2"/>
  <c r="N309" i="2"/>
  <c r="M309" i="2"/>
  <c r="L309" i="2"/>
  <c r="O308" i="2"/>
  <c r="N308" i="2"/>
  <c r="M308" i="2"/>
  <c r="L308" i="2"/>
  <c r="O307" i="2"/>
  <c r="N307" i="2"/>
  <c r="M307" i="2"/>
  <c r="L307" i="2"/>
  <c r="O306" i="2"/>
  <c r="N306" i="2"/>
  <c r="M306" i="2"/>
  <c r="L306" i="2"/>
  <c r="O305" i="2"/>
  <c r="N305" i="2"/>
  <c r="M305" i="2"/>
  <c r="L305" i="2"/>
  <c r="O304" i="2"/>
  <c r="N304" i="2"/>
  <c r="M304" i="2"/>
  <c r="L304" i="2"/>
  <c r="O303" i="2"/>
  <c r="N303" i="2"/>
  <c r="M303" i="2"/>
  <c r="L303" i="2"/>
  <c r="O302" i="2"/>
  <c r="N302" i="2"/>
  <c r="M302" i="2"/>
  <c r="L302" i="2"/>
  <c r="O301" i="2"/>
  <c r="N301" i="2"/>
  <c r="M301" i="2"/>
  <c r="L301" i="2"/>
  <c r="O300" i="2"/>
  <c r="N300" i="2"/>
  <c r="M300" i="2"/>
  <c r="L300" i="2"/>
  <c r="O299" i="2"/>
  <c r="N299" i="2"/>
  <c r="M299" i="2"/>
  <c r="L299" i="2"/>
  <c r="O298" i="2"/>
  <c r="N298" i="2"/>
  <c r="M298" i="2"/>
  <c r="L298" i="2"/>
  <c r="O297" i="2"/>
  <c r="N297" i="2"/>
  <c r="M297" i="2"/>
  <c r="L297" i="2"/>
  <c r="O296" i="2"/>
  <c r="N296" i="2"/>
  <c r="M296" i="2"/>
  <c r="L296" i="2"/>
  <c r="O295" i="2"/>
  <c r="N295" i="2"/>
  <c r="M295" i="2"/>
  <c r="L295" i="2"/>
  <c r="O294" i="2"/>
  <c r="N294" i="2"/>
  <c r="M294" i="2"/>
  <c r="L294" i="2"/>
  <c r="O293" i="2"/>
  <c r="N293" i="2"/>
  <c r="M293" i="2"/>
  <c r="L293" i="2"/>
  <c r="O292" i="2"/>
  <c r="N292" i="2"/>
  <c r="M292" i="2"/>
  <c r="L292" i="2"/>
  <c r="O291" i="2"/>
  <c r="N291" i="2"/>
  <c r="M291" i="2"/>
  <c r="L291" i="2"/>
  <c r="O290" i="2"/>
  <c r="N290" i="2"/>
  <c r="M290" i="2"/>
  <c r="L290" i="2"/>
  <c r="O289" i="2"/>
  <c r="N289" i="2"/>
  <c r="M289" i="2"/>
  <c r="L289" i="2"/>
  <c r="O288" i="2"/>
  <c r="N288" i="2"/>
  <c r="M288" i="2"/>
  <c r="L288" i="2"/>
  <c r="O287" i="2"/>
  <c r="N287" i="2"/>
  <c r="M287" i="2"/>
  <c r="L287" i="2"/>
  <c r="O286" i="2"/>
  <c r="N286" i="2"/>
  <c r="M286" i="2"/>
  <c r="L286" i="2"/>
  <c r="O285" i="2"/>
  <c r="N285" i="2"/>
  <c r="M285" i="2"/>
  <c r="L285" i="2"/>
  <c r="O284" i="2"/>
  <c r="N284" i="2"/>
  <c r="M284" i="2"/>
  <c r="L284" i="2"/>
  <c r="O283" i="2"/>
  <c r="N283" i="2"/>
  <c r="M283" i="2"/>
  <c r="L283" i="2"/>
  <c r="O282" i="2"/>
  <c r="N282" i="2"/>
  <c r="M282" i="2"/>
  <c r="L282" i="2"/>
  <c r="O281" i="2"/>
  <c r="N281" i="2"/>
  <c r="M281" i="2"/>
  <c r="L281" i="2"/>
  <c r="O280" i="2"/>
  <c r="N280" i="2"/>
  <c r="M280" i="2"/>
  <c r="L280" i="2"/>
  <c r="O279" i="2"/>
  <c r="N279" i="2"/>
  <c r="M279" i="2"/>
  <c r="L279" i="2"/>
  <c r="O278" i="2"/>
  <c r="N278" i="2"/>
  <c r="M278" i="2"/>
  <c r="L278" i="2"/>
  <c r="O277" i="2"/>
  <c r="N277" i="2"/>
  <c r="M277" i="2"/>
  <c r="L277" i="2"/>
  <c r="O276" i="2"/>
  <c r="N276" i="2"/>
  <c r="M276" i="2"/>
  <c r="L276" i="2"/>
  <c r="O275" i="2"/>
  <c r="N275" i="2"/>
  <c r="M275" i="2"/>
  <c r="L275" i="2"/>
  <c r="O274" i="2"/>
  <c r="N274" i="2"/>
  <c r="M274" i="2"/>
  <c r="L274" i="2"/>
  <c r="O273" i="2"/>
  <c r="N273" i="2"/>
  <c r="M273" i="2"/>
  <c r="L273" i="2"/>
  <c r="O272" i="2"/>
  <c r="N272" i="2"/>
  <c r="M272" i="2"/>
  <c r="L272" i="2"/>
  <c r="O271" i="2"/>
  <c r="N271" i="2"/>
  <c r="M271" i="2"/>
  <c r="L271" i="2"/>
  <c r="O270" i="2"/>
  <c r="N270" i="2"/>
  <c r="M270" i="2"/>
  <c r="L270" i="2"/>
  <c r="O269" i="2"/>
  <c r="N269" i="2"/>
  <c r="M269" i="2"/>
  <c r="L269" i="2"/>
  <c r="O268" i="2"/>
  <c r="N268" i="2"/>
  <c r="M268" i="2"/>
  <c r="L268" i="2"/>
  <c r="O267" i="2"/>
  <c r="N267" i="2"/>
  <c r="M267" i="2"/>
  <c r="L267" i="2"/>
  <c r="O266" i="2"/>
  <c r="N266" i="2"/>
  <c r="M266" i="2"/>
  <c r="L266" i="2"/>
  <c r="O265" i="2"/>
  <c r="N265" i="2"/>
  <c r="M265" i="2"/>
  <c r="L265" i="2"/>
  <c r="O264" i="2"/>
  <c r="N264" i="2"/>
  <c r="M264" i="2"/>
  <c r="L264" i="2"/>
  <c r="O263" i="2"/>
  <c r="N263" i="2"/>
  <c r="M263" i="2"/>
  <c r="L263" i="2"/>
  <c r="O262" i="2"/>
  <c r="N262" i="2"/>
  <c r="M262" i="2"/>
  <c r="L262" i="2"/>
  <c r="O261" i="2"/>
  <c r="N261" i="2"/>
  <c r="M261" i="2"/>
  <c r="L261" i="2"/>
  <c r="O260" i="2"/>
  <c r="N260" i="2"/>
  <c r="M260" i="2"/>
  <c r="L260" i="2"/>
  <c r="O259" i="2"/>
  <c r="N259" i="2"/>
  <c r="M259" i="2"/>
  <c r="L259" i="2"/>
  <c r="O258" i="2"/>
  <c r="N258" i="2"/>
  <c r="M258" i="2"/>
  <c r="L258" i="2"/>
  <c r="O257" i="2"/>
  <c r="N257" i="2"/>
  <c r="M257" i="2"/>
  <c r="L257" i="2"/>
  <c r="O256" i="2"/>
  <c r="N256" i="2"/>
  <c r="M256" i="2"/>
  <c r="L256" i="2"/>
  <c r="O255" i="2"/>
  <c r="N255" i="2"/>
  <c r="M255" i="2"/>
  <c r="L255" i="2"/>
  <c r="O254" i="2"/>
  <c r="N254" i="2"/>
  <c r="M254" i="2"/>
  <c r="L254" i="2"/>
  <c r="O253" i="2"/>
  <c r="N253" i="2"/>
  <c r="M253" i="2"/>
  <c r="L253" i="2"/>
  <c r="O252" i="2"/>
  <c r="N252" i="2"/>
  <c r="M252" i="2"/>
  <c r="L252" i="2"/>
  <c r="O251" i="2"/>
  <c r="N251" i="2"/>
  <c r="M251" i="2"/>
  <c r="L251" i="2"/>
  <c r="O250" i="2"/>
  <c r="N250" i="2"/>
  <c r="M250" i="2"/>
  <c r="L250" i="2"/>
  <c r="O249" i="2"/>
  <c r="N249" i="2"/>
  <c r="M249" i="2"/>
  <c r="L249" i="2"/>
  <c r="O248" i="2"/>
  <c r="N248" i="2"/>
  <c r="M248" i="2"/>
  <c r="L248" i="2"/>
  <c r="O247" i="2"/>
  <c r="N247" i="2"/>
  <c r="M247" i="2"/>
  <c r="L247" i="2"/>
  <c r="O246" i="2"/>
  <c r="N246" i="2"/>
  <c r="M246" i="2"/>
  <c r="L246" i="2"/>
  <c r="O245" i="2"/>
  <c r="N245" i="2"/>
  <c r="M245" i="2"/>
  <c r="L245" i="2"/>
  <c r="O244" i="2"/>
  <c r="N244" i="2"/>
  <c r="M244" i="2"/>
  <c r="L244" i="2"/>
  <c r="O243" i="2"/>
  <c r="N243" i="2"/>
  <c r="M243" i="2"/>
  <c r="L243" i="2"/>
  <c r="O242" i="2"/>
  <c r="N242" i="2"/>
  <c r="M242" i="2"/>
  <c r="L242" i="2"/>
  <c r="O241" i="2"/>
  <c r="N241" i="2"/>
  <c r="M241" i="2"/>
  <c r="L241" i="2"/>
  <c r="O240" i="2"/>
  <c r="N240" i="2"/>
  <c r="M240" i="2"/>
  <c r="L240" i="2"/>
  <c r="O239" i="2"/>
  <c r="N239" i="2"/>
  <c r="M239" i="2"/>
  <c r="L239" i="2"/>
  <c r="O238" i="2"/>
  <c r="N238" i="2"/>
  <c r="M238" i="2"/>
  <c r="L238" i="2"/>
  <c r="O237" i="2"/>
  <c r="N237" i="2"/>
  <c r="M237" i="2"/>
  <c r="L237" i="2"/>
  <c r="O236" i="2"/>
  <c r="N236" i="2"/>
  <c r="M236" i="2"/>
  <c r="L236" i="2"/>
  <c r="O235" i="2"/>
  <c r="N235" i="2"/>
  <c r="M235" i="2"/>
  <c r="L235" i="2"/>
  <c r="O234" i="2"/>
  <c r="N234" i="2"/>
  <c r="M234" i="2"/>
  <c r="L234" i="2"/>
  <c r="O233" i="2"/>
  <c r="N233" i="2"/>
  <c r="M233" i="2"/>
  <c r="L233" i="2"/>
  <c r="O232" i="2"/>
  <c r="N232" i="2"/>
  <c r="M232" i="2"/>
  <c r="L232" i="2"/>
  <c r="O231" i="2"/>
  <c r="N231" i="2"/>
  <c r="M231" i="2"/>
  <c r="L231" i="2"/>
  <c r="O230" i="2"/>
  <c r="N230" i="2"/>
  <c r="M230" i="2"/>
  <c r="L230" i="2"/>
  <c r="O229" i="2"/>
  <c r="N229" i="2"/>
  <c r="M229" i="2"/>
  <c r="L229" i="2"/>
  <c r="O228" i="2"/>
  <c r="N228" i="2"/>
  <c r="M228" i="2"/>
  <c r="L228" i="2"/>
  <c r="O227" i="2"/>
  <c r="N227" i="2"/>
  <c r="M227" i="2"/>
  <c r="L227" i="2"/>
  <c r="O226" i="2"/>
  <c r="N226" i="2"/>
  <c r="M226" i="2"/>
  <c r="L226" i="2"/>
  <c r="O225" i="2"/>
  <c r="N225" i="2"/>
  <c r="M225" i="2"/>
  <c r="L225" i="2"/>
  <c r="O224" i="2"/>
  <c r="N224" i="2"/>
  <c r="M224" i="2"/>
  <c r="L224" i="2"/>
  <c r="O223" i="2"/>
  <c r="N223" i="2"/>
  <c r="M223" i="2"/>
  <c r="L223" i="2"/>
  <c r="O222" i="2"/>
  <c r="N222" i="2"/>
  <c r="M222" i="2"/>
  <c r="L222" i="2"/>
  <c r="O221" i="2"/>
  <c r="N221" i="2"/>
  <c r="M221" i="2"/>
  <c r="L221" i="2"/>
  <c r="O220" i="2"/>
  <c r="N220" i="2"/>
  <c r="M220" i="2"/>
  <c r="L220" i="2"/>
  <c r="O219" i="2"/>
  <c r="N219" i="2"/>
  <c r="M219" i="2"/>
  <c r="L219" i="2"/>
  <c r="O218" i="2"/>
  <c r="N218" i="2"/>
  <c r="M218" i="2"/>
  <c r="L218" i="2"/>
  <c r="O217" i="2"/>
  <c r="N217" i="2"/>
  <c r="M217" i="2"/>
  <c r="L217" i="2"/>
  <c r="O216" i="2"/>
  <c r="N216" i="2"/>
  <c r="M216" i="2"/>
  <c r="L216" i="2"/>
  <c r="O215" i="2"/>
  <c r="N215" i="2"/>
  <c r="M215" i="2"/>
  <c r="L215" i="2"/>
  <c r="O214" i="2"/>
  <c r="N214" i="2"/>
  <c r="M214" i="2"/>
  <c r="L214" i="2"/>
  <c r="O213" i="2"/>
  <c r="N213" i="2"/>
  <c r="M213" i="2"/>
  <c r="L213" i="2"/>
  <c r="O212" i="2"/>
  <c r="N212" i="2"/>
  <c r="M212" i="2"/>
  <c r="L212" i="2"/>
  <c r="O211" i="2"/>
  <c r="N211" i="2"/>
  <c r="M211" i="2"/>
  <c r="L211" i="2"/>
  <c r="O210" i="2"/>
  <c r="N210" i="2"/>
  <c r="M210" i="2"/>
  <c r="L210" i="2"/>
  <c r="O209" i="2"/>
  <c r="N209" i="2"/>
  <c r="M209" i="2"/>
  <c r="L209" i="2"/>
  <c r="O208" i="2"/>
  <c r="N208" i="2"/>
  <c r="M208" i="2"/>
  <c r="L208" i="2"/>
  <c r="O207" i="2"/>
  <c r="N207" i="2"/>
  <c r="M207" i="2"/>
  <c r="L207" i="2"/>
  <c r="O206" i="2"/>
  <c r="N206" i="2"/>
  <c r="M206" i="2"/>
  <c r="L206" i="2"/>
  <c r="O205" i="2"/>
  <c r="N205" i="2"/>
  <c r="M205" i="2"/>
  <c r="L205" i="2"/>
  <c r="O204" i="2"/>
  <c r="N204" i="2"/>
  <c r="M204" i="2"/>
  <c r="L204" i="2"/>
  <c r="O203" i="2"/>
  <c r="N203" i="2"/>
  <c r="M203" i="2"/>
  <c r="L203" i="2"/>
  <c r="O202" i="2"/>
  <c r="N202" i="2"/>
  <c r="M202" i="2"/>
  <c r="L202" i="2"/>
  <c r="O201" i="2"/>
  <c r="N201" i="2"/>
  <c r="M201" i="2"/>
  <c r="L201" i="2"/>
  <c r="O200" i="2"/>
  <c r="N200" i="2"/>
  <c r="M200" i="2"/>
  <c r="L200" i="2"/>
  <c r="O199" i="2"/>
  <c r="N199" i="2"/>
  <c r="M199" i="2"/>
  <c r="L199" i="2"/>
  <c r="O198" i="2"/>
  <c r="N198" i="2"/>
  <c r="M198" i="2"/>
  <c r="L198" i="2"/>
  <c r="O197" i="2"/>
  <c r="N197" i="2"/>
  <c r="M197" i="2"/>
  <c r="L197" i="2"/>
  <c r="O196" i="2"/>
  <c r="N196" i="2"/>
  <c r="M196" i="2"/>
  <c r="L196" i="2"/>
  <c r="O195" i="2"/>
  <c r="N195" i="2"/>
  <c r="M195" i="2"/>
  <c r="L195" i="2"/>
  <c r="O194" i="2"/>
  <c r="N194" i="2"/>
  <c r="M194" i="2"/>
  <c r="L194" i="2"/>
  <c r="O193" i="2"/>
  <c r="N193" i="2"/>
  <c r="M193" i="2"/>
  <c r="L193" i="2"/>
  <c r="O192" i="2"/>
  <c r="N192" i="2"/>
  <c r="M192" i="2"/>
  <c r="L192" i="2"/>
  <c r="O191" i="2"/>
  <c r="N191" i="2"/>
  <c r="M191" i="2"/>
  <c r="L191" i="2"/>
  <c r="O190" i="2"/>
  <c r="N190" i="2"/>
  <c r="M190" i="2"/>
  <c r="L190" i="2"/>
  <c r="O189" i="2"/>
  <c r="N189" i="2"/>
  <c r="M189" i="2"/>
  <c r="L189" i="2"/>
  <c r="O188" i="2"/>
  <c r="N188" i="2"/>
  <c r="M188" i="2"/>
  <c r="L188" i="2"/>
  <c r="O187" i="2"/>
  <c r="N187" i="2"/>
  <c r="M187" i="2"/>
  <c r="L187" i="2"/>
  <c r="O186" i="2"/>
  <c r="N186" i="2"/>
  <c r="M186" i="2"/>
  <c r="L186" i="2"/>
  <c r="AJ80" i="2"/>
  <c r="AI80" i="2"/>
  <c r="AJ79" i="2"/>
  <c r="AI79" i="2"/>
  <c r="AJ78" i="2"/>
  <c r="AI78" i="2"/>
  <c r="AJ77" i="2"/>
  <c r="AI77" i="2"/>
  <c r="AJ76" i="2"/>
  <c r="AI76" i="2"/>
  <c r="AJ75" i="2"/>
  <c r="AI75" i="2"/>
  <c r="AJ74" i="2"/>
  <c r="AI74" i="2"/>
  <c r="AJ73" i="2"/>
  <c r="AI73" i="2"/>
  <c r="AJ72" i="2"/>
  <c r="AI72" i="2"/>
  <c r="AJ71" i="2"/>
  <c r="AI71" i="2"/>
  <c r="AJ70" i="2"/>
  <c r="AI70" i="2"/>
  <c r="AJ69" i="2"/>
  <c r="AI69" i="2"/>
  <c r="AJ68" i="2"/>
  <c r="AI68" i="2"/>
  <c r="AJ67" i="2"/>
  <c r="AI67" i="2"/>
  <c r="AJ66" i="2"/>
  <c r="AI66" i="2"/>
  <c r="AJ65" i="2"/>
  <c r="AI65" i="2"/>
  <c r="AJ64" i="2"/>
  <c r="AI64" i="2"/>
  <c r="AJ63" i="2"/>
  <c r="AI63" i="2"/>
  <c r="AJ62" i="2"/>
  <c r="AI62" i="2"/>
  <c r="AJ61" i="2"/>
  <c r="AI61" i="2"/>
  <c r="AJ60" i="2"/>
  <c r="AI60" i="2"/>
  <c r="AJ59" i="2"/>
  <c r="AI59" i="2"/>
  <c r="AJ58" i="2"/>
  <c r="AI58" i="2"/>
  <c r="AJ57" i="2"/>
  <c r="AI57" i="2"/>
  <c r="AJ56" i="2"/>
  <c r="AI56" i="2"/>
  <c r="AJ55" i="2"/>
  <c r="AI55" i="2"/>
  <c r="AJ54" i="2"/>
  <c r="AI54" i="2"/>
  <c r="AJ53" i="2"/>
  <c r="AI53" i="2"/>
  <c r="AJ52" i="2"/>
  <c r="AI52" i="2"/>
  <c r="AJ51" i="2"/>
  <c r="AI51" i="2"/>
  <c r="AJ50" i="2"/>
  <c r="AI50" i="2"/>
  <c r="AJ49" i="2"/>
  <c r="AI49" i="2"/>
  <c r="AJ48" i="2"/>
  <c r="AI48" i="2"/>
  <c r="AJ47" i="2"/>
  <c r="AI47" i="2"/>
  <c r="AJ46" i="2"/>
  <c r="AI46" i="2"/>
  <c r="AJ45" i="2"/>
  <c r="AI45" i="2"/>
  <c r="AJ44" i="2"/>
  <c r="AI44" i="2"/>
  <c r="AJ43" i="2"/>
  <c r="AI43" i="2"/>
  <c r="AJ42" i="2"/>
  <c r="AI42" i="2"/>
  <c r="AJ41" i="2"/>
  <c r="AI41" i="2"/>
  <c r="AJ40" i="2"/>
  <c r="AI40" i="2"/>
  <c r="AJ39" i="2"/>
  <c r="AI39" i="2"/>
  <c r="AJ38" i="2"/>
  <c r="AI38" i="2"/>
  <c r="AJ37" i="2"/>
  <c r="AI37" i="2"/>
  <c r="AJ36" i="2"/>
  <c r="AI36" i="2"/>
  <c r="AJ35" i="2"/>
  <c r="AI35" i="2"/>
  <c r="AJ34" i="2"/>
  <c r="AI34" i="2"/>
  <c r="AJ33" i="2"/>
  <c r="AI33" i="2"/>
  <c r="AJ32" i="2"/>
  <c r="AI32" i="2"/>
  <c r="AJ31" i="2"/>
  <c r="AI31" i="2"/>
  <c r="AJ30" i="2"/>
  <c r="AI30" i="2"/>
  <c r="AJ29" i="2"/>
  <c r="AI29" i="2"/>
  <c r="AJ28" i="2"/>
  <c r="AI28" i="2"/>
  <c r="AJ27" i="2"/>
  <c r="AI27" i="2"/>
  <c r="AJ26" i="2"/>
  <c r="AI26" i="2"/>
  <c r="AJ25" i="2"/>
  <c r="AI25" i="2"/>
  <c r="AJ24" i="2"/>
  <c r="AI24" i="2"/>
  <c r="AJ23" i="2"/>
  <c r="AI23" i="2"/>
  <c r="AJ22" i="2"/>
  <c r="AI22" i="2"/>
  <c r="AJ21" i="2"/>
  <c r="AI21" i="2"/>
  <c r="AJ20" i="2"/>
  <c r="AI20" i="2"/>
  <c r="AJ19" i="2"/>
  <c r="AI19" i="2"/>
  <c r="AJ18" i="2"/>
  <c r="AI18" i="2"/>
  <c r="AJ17" i="2"/>
  <c r="AI17" i="2"/>
  <c r="AJ16" i="2"/>
  <c r="AI16" i="2"/>
  <c r="AJ15" i="2"/>
  <c r="AI15" i="2"/>
  <c r="AJ14" i="2"/>
  <c r="AI14" i="2"/>
  <c r="AJ13" i="2"/>
  <c r="AI13" i="2"/>
  <c r="AJ12" i="2"/>
  <c r="AI12" i="2"/>
  <c r="AJ11" i="2"/>
  <c r="AI11" i="2"/>
  <c r="AJ10" i="2"/>
  <c r="AI10" i="2"/>
  <c r="AJ9" i="2"/>
  <c r="AI9" i="2"/>
  <c r="AJ8" i="2"/>
  <c r="AI8" i="2"/>
  <c r="AJ7" i="2"/>
  <c r="AI7" i="2"/>
  <c r="AJ6" i="2"/>
  <c r="AI6" i="2"/>
  <c r="AJ5" i="2"/>
  <c r="AI5" i="2"/>
  <c r="AJ4" i="2"/>
  <c r="AI4" i="2"/>
  <c r="AN3" i="2"/>
  <c r="AJ3" i="2"/>
  <c r="AI3" i="2"/>
  <c r="U3" i="2"/>
  <c r="W3" i="2" s="1"/>
  <c r="W2" i="2"/>
</calcChain>
</file>

<file path=xl/sharedStrings.xml><?xml version="1.0" encoding="utf-8"?>
<sst xmlns="http://schemas.openxmlformats.org/spreadsheetml/2006/main" count="2958" uniqueCount="686">
  <si>
    <t>INCIDENCIA</t>
  </si>
  <si>
    <t>Aseguradora</t>
  </si>
  <si>
    <t>Analista Operativo</t>
  </si>
  <si>
    <t>Estado de Incidencia</t>
  </si>
  <si>
    <t>Cod. Agencia</t>
  </si>
  <si>
    <t>Nombre Agencia</t>
  </si>
  <si>
    <t>Fecha de recibido</t>
  </si>
  <si>
    <t>Fecha de envio a La Aseguradora</t>
  </si>
  <si>
    <t>Fecha Siniestro</t>
  </si>
  <si>
    <t>Número Crédito</t>
  </si>
  <si>
    <t>Nombre Persona</t>
  </si>
  <si>
    <t>Cédula Persona</t>
  </si>
  <si>
    <t>Tipo Reclamación</t>
  </si>
  <si>
    <t>Ramo</t>
  </si>
  <si>
    <t>Tipificación</t>
  </si>
  <si>
    <t>Numero de Siniestro</t>
  </si>
  <si>
    <t>Inicio  Póliza</t>
  </si>
  <si>
    <t>Final Póliza</t>
  </si>
  <si>
    <t>Valor Asegurado</t>
  </si>
  <si>
    <t xml:space="preserve">Nombre Beneficiario </t>
  </si>
  <si>
    <t>Telefono Contacto</t>
  </si>
  <si>
    <t>Analista Popayán</t>
  </si>
  <si>
    <t>Concepto medico</t>
  </si>
  <si>
    <t>Observaciones Popayan</t>
  </si>
  <si>
    <t>Tipo Proceso</t>
  </si>
  <si>
    <t>Fecha orden de pago</t>
  </si>
  <si>
    <t>Motivo de Objeción</t>
  </si>
  <si>
    <t>Valor Pagado BMM</t>
  </si>
  <si>
    <t>Vr Exedente</t>
  </si>
  <si>
    <t>Observaciones Bogota</t>
  </si>
  <si>
    <t>Tiempo A3</t>
  </si>
  <si>
    <t>Dias Transcurridos</t>
  </si>
  <si>
    <t>Dias Faltantes</t>
  </si>
  <si>
    <t>DÍAS RESUELTO</t>
  </si>
  <si>
    <t>Consecutivo kimmel</t>
  </si>
  <si>
    <t>Axa Colpatria Seguros</t>
  </si>
  <si>
    <t>Claudia Vasquez</t>
  </si>
  <si>
    <t>Recibida</t>
  </si>
  <si>
    <t>Granada</t>
  </si>
  <si>
    <t>CASAS LESMES LUIS</t>
  </si>
  <si>
    <t>Nueva</t>
  </si>
  <si>
    <t>GD Vida Deudores</t>
  </si>
  <si>
    <t>MT</t>
  </si>
  <si>
    <t>CHAVEZ BELTRAN ANA LUZ</t>
  </si>
  <si>
    <t>Jaime Sepulveda</t>
  </si>
  <si>
    <t>VALIDAR FACTURACION de Agosto para saber si tiene o no cobertura, Se cargan documentos por página, generando el número de radicado RAD-23-000001716 Reactivada 22/08/2023 documentos cargados mediante helppeople  Recibir para respuesta formal</t>
  </si>
  <si>
    <t>A6277</t>
  </si>
  <si>
    <t>Yulie Palechor</t>
  </si>
  <si>
    <t>Popayan Valencia</t>
  </si>
  <si>
    <t>COLLAZOS  AUGUSTO</t>
  </si>
  <si>
    <t>EG</t>
  </si>
  <si>
    <t xml:space="preserve">faceitis (daño de la fascia muscular) + enfermedad ateroesclerotica de miembros inferiores y  pie diabetico con antecedente de diabetes mellitus previa </t>
  </si>
  <si>
    <t>OBJETAR - Supera edad maxima para amparo. Se cargan documentos por página, generando el número de radicado RAD-23-000001715</t>
  </si>
  <si>
    <t>A6278</t>
  </si>
  <si>
    <t>Pasto Sur</t>
  </si>
  <si>
    <t>MUESES NARVAEZ JOSE FELIX</t>
  </si>
  <si>
    <t>YENI ELENA MUESES PISCAL</t>
  </si>
  <si>
    <t>VALIDAR FACTURACION de Agosto para saber si tiene o no cobertura, Se cargan documentos por página, generando el número de radicado RAD-23-000001706</t>
  </si>
  <si>
    <t>A6279</t>
  </si>
  <si>
    <t>Ibague Centro</t>
  </si>
  <si>
    <t>GIRALDO GUTIERREZ JOSE DONALDO</t>
  </si>
  <si>
    <t>Reconsideracion</t>
  </si>
  <si>
    <t>29-59-29591-2023-1</t>
  </si>
  <si>
    <t xml:space="preserve">biopsia 12/5/2023 adenocarcinoma infiltrante de estomago </t>
  </si>
  <si>
    <t>Anexa carta cedula e historia clinica Se cargan documentos por página, generando el número de radicado RAD-23-000001707</t>
  </si>
  <si>
    <t>A6280</t>
  </si>
  <si>
    <t>Anexa carta cedula e historia clinica Se cargan documentos por página, generando el número de radicado RAD-23-000001708</t>
  </si>
  <si>
    <t>A6281</t>
  </si>
  <si>
    <t>Pda Candelaria</t>
  </si>
  <si>
    <t>VEGA CONTO FABIAN</t>
  </si>
  <si>
    <t>NA</t>
  </si>
  <si>
    <t>Se cargan documentos por página, generando el número de radicado RAD-23-000001704</t>
  </si>
  <si>
    <t>A6282</t>
  </si>
  <si>
    <t>Cali San Fernando</t>
  </si>
  <si>
    <t>DAVID CIFUENTES SILVIA LILIA</t>
  </si>
  <si>
    <t>CARLOS HERNAN ISAZIGA DAVID</t>
  </si>
  <si>
    <t>Se cargan documentos por página, generando el número de radicado RAD-23-000001705</t>
  </si>
  <si>
    <t>A6283</t>
  </si>
  <si>
    <t>Cereté</t>
  </si>
  <si>
    <t>CANTERO CANTERO DANILZA ROSA</t>
  </si>
  <si>
    <t xml:space="preserve">12/4/2023 implante marcapaso cardiaco por bloqueo auriculoventricular completo con antecedente de hipertension arterial </t>
  </si>
  <si>
    <t>OBJETAR - Supera edad maxima para amparo. Se cargan documentos por página, generando el número de radicado RAD-23-000001714</t>
  </si>
  <si>
    <t>A6284</t>
  </si>
  <si>
    <t>Villavicencio Barzal</t>
  </si>
  <si>
    <t>MENDEZ PEREZ CECILIA</t>
  </si>
  <si>
    <t>VALIDAR FACTURACION de Agosto para saber si tiene o no cobertura, Se cargan documentos por página, generando el número de radicado RAD-23-000001711</t>
  </si>
  <si>
    <t>A6285</t>
  </si>
  <si>
    <t>Cali Capri</t>
  </si>
  <si>
    <t>PEREZ PALMA DIEGO FERNANDO</t>
  </si>
  <si>
    <t>YULIETH LONDO?O VINASCO</t>
  </si>
  <si>
    <t>VALIDAR FACTURACION de Agosto para saber si tiene o no cobertura, Se cargan documentos por página, generando el número de radicado RAD-23-000001709</t>
  </si>
  <si>
    <t>A6286</t>
  </si>
  <si>
    <t>VALIDAR FACTURACION de Agosto para saber si tiene o no cobertura, Se cargan documentos por página, generando el número de radicado RAD-23-000001710. Para el credito 6949055 se realiza la solicitud de la poliza al area de custodia del BMM, quien envia la copia de esta poliza con la particularidad de que no tiene deligenciado las preguntas de asegurabilidad, por lo que no se tiene costancia de que el cliente declarara alguna enfermedad preexistente, por lo que para los dos creditos (adjuntamos las polizas) el cliente no presenta declaracion en las preguntas de asegurabilidad, se radica siniestro para analisis, validaciones y respuesta formal de solicitud de la historia clinica para identificar la causa del falleciento, por otra parte, se realiza la consulta y en nuestras bases no registra ninguna solicitud de estudio de asegurabilidad.</t>
  </si>
  <si>
    <t>A6287</t>
  </si>
  <si>
    <t>Pda Curumaní</t>
  </si>
  <si>
    <t>SANGUINO ASCANIO RAMIRO</t>
  </si>
  <si>
    <t>SANGUINO QUINTERO EDER ALFONSO, JOSE LUIS SANGUINO QUINTERO</t>
  </si>
  <si>
    <t>Se cargan documentos por página, generando el número de radicado RAD-23-000001712</t>
  </si>
  <si>
    <t>A6288</t>
  </si>
  <si>
    <t>Espinal</t>
  </si>
  <si>
    <t>BARRIOS BERNAL LUIS DIEGO</t>
  </si>
  <si>
    <t>VALIDAR FACTURACION de Agosto para saber si tiene o no cobertura, Se cargan documentos por página, generando el número de radicado RAD-23-000001713, No anexa registro civil de def sio certificado.</t>
  </si>
  <si>
    <t>A6289</t>
  </si>
  <si>
    <t>Neiva Quirinal</t>
  </si>
  <si>
    <t>CERQUERA VARGAS MARIA VILMA</t>
  </si>
  <si>
    <t>LINA DEL PILAR GALINDO TOVAR</t>
  </si>
  <si>
    <t>Se cargan documentos por página, generando el número de radicado RAD-23-000001717</t>
  </si>
  <si>
    <t>A6290</t>
  </si>
  <si>
    <t xml:space="preserve">Fechas </t>
  </si>
  <si>
    <t>Tipo Reclamacion</t>
  </si>
  <si>
    <t>Tipificacion</t>
  </si>
  <si>
    <t>Motivos de devolucion</t>
  </si>
  <si>
    <t>Estado de incidencia</t>
  </si>
  <si>
    <t>Tempo A3</t>
  </si>
  <si>
    <t>ESTADO DE LA RECLAMACION</t>
  </si>
  <si>
    <t>Aseguradoras</t>
  </si>
  <si>
    <t>Plan</t>
  </si>
  <si>
    <t>Covid</t>
  </si>
  <si>
    <t>Motivos Objecion BMM</t>
  </si>
  <si>
    <t>Notas</t>
  </si>
  <si>
    <t>Formulas</t>
  </si>
  <si>
    <t>notas 2.0</t>
  </si>
  <si>
    <t>Formulas 2</t>
  </si>
  <si>
    <t>ESTADO DE RECLAMACION x formula</t>
  </si>
  <si>
    <t>Estado Reclamacion Manual</t>
  </si>
  <si>
    <t>COD</t>
  </si>
  <si>
    <t>OFICINA</t>
  </si>
  <si>
    <t>REGIONAL</t>
  </si>
  <si>
    <t>COLUMNAS LIBRO</t>
  </si>
  <si>
    <t>SEDE ADMINISTRATIVA</t>
  </si>
  <si>
    <t>AuxM</t>
  </si>
  <si>
    <t>karol Muñoz</t>
  </si>
  <si>
    <t>SIN TRAMITAR</t>
  </si>
  <si>
    <t>1.Mal diligenciamiento en formatos</t>
  </si>
  <si>
    <t>Cerrada</t>
  </si>
  <si>
    <t>Anulado-Desistido</t>
  </si>
  <si>
    <t>Liberty Seguros</t>
  </si>
  <si>
    <t>1A</t>
  </si>
  <si>
    <t>Confirmado</t>
  </si>
  <si>
    <t>Siniestro fuera de vigencia</t>
  </si>
  <si>
    <t>pegar en el # siniestro</t>
  </si>
  <si>
    <t>NORMAL 2.0</t>
  </si>
  <si>
    <t>Activa</t>
  </si>
  <si>
    <t>Pendiente definición</t>
  </si>
  <si>
    <t>solucionado por cerrar incidencia</t>
  </si>
  <si>
    <t>Cauca</t>
  </si>
  <si>
    <t>La Union</t>
  </si>
  <si>
    <t>Anexo</t>
  </si>
  <si>
    <t>AuxP</t>
  </si>
  <si>
    <t>Marcela Sierra</t>
  </si>
  <si>
    <t>PAGADO</t>
  </si>
  <si>
    <t>Radicada</t>
  </si>
  <si>
    <t>2.Falta de información en formatos</t>
  </si>
  <si>
    <t>Cristina Cruz</t>
  </si>
  <si>
    <t>Devuelta</t>
  </si>
  <si>
    <t>pendiente carta</t>
  </si>
  <si>
    <t>Colmena Seguros</t>
  </si>
  <si>
    <t>GC Vida Grupo</t>
  </si>
  <si>
    <t>1B</t>
  </si>
  <si>
    <t>Sospechoso</t>
  </si>
  <si>
    <t>Aplicación de Exclusiones Particulares</t>
  </si>
  <si>
    <t>NORMAL</t>
  </si>
  <si>
    <t>NORMAL 3.0</t>
  </si>
  <si>
    <t>solucionado - incidencia cerrada</t>
  </si>
  <si>
    <t>El Bordo</t>
  </si>
  <si>
    <t>Datos</t>
  </si>
  <si>
    <t>Pda San Pablo</t>
  </si>
  <si>
    <t>Derecho de Peticion</t>
  </si>
  <si>
    <t>Sandra Cruz</t>
  </si>
  <si>
    <t>SOLICITUD DOCUMENTOS</t>
  </si>
  <si>
    <t>3.Documentación adjunta incompleta</t>
  </si>
  <si>
    <t>2A</t>
  </si>
  <si>
    <t>Aplicación Exclusiones Generales</t>
  </si>
  <si>
    <t>Mensaje para la incidencia para Creditos desembolsados y siniestrados el mismo mes o siguiente;</t>
  </si>
  <si>
    <t>Para los casos de las reclamaciones de polizas a afectar de creditos desembolsados durante el mismo mes, ejemplo; credito desembolsado en el mes de Enero, pero reclamacion de Mt , se deben medir Indicadores de gestion desde el mes de Febrero (Este tipo de reclamaciones superan los tiempos establecidos y acordados por ser casos especiales - tener en cuenta)</t>
  </si>
  <si>
    <t>Inactiva</t>
  </si>
  <si>
    <t>Incidencia devuelta</t>
  </si>
  <si>
    <t>pendiente definicion - Pendiente carta</t>
  </si>
  <si>
    <t>Pda Balboa</t>
  </si>
  <si>
    <t>Pasto Centro</t>
  </si>
  <si>
    <t>MA</t>
  </si>
  <si>
    <t>Juan Camilo Astaiza</t>
  </si>
  <si>
    <t>OBJETADO</t>
  </si>
  <si>
    <t>4.No hay documentación adjunta en la solicitud</t>
  </si>
  <si>
    <t>Solucionado</t>
  </si>
  <si>
    <t>2B</t>
  </si>
  <si>
    <t>Supera la edad de Ingreso</t>
  </si>
  <si>
    <t>Pendiente definicion - Pendiente debito</t>
  </si>
  <si>
    <t>Bella Vista</t>
  </si>
  <si>
    <t>Juan Manuel Escobar</t>
  </si>
  <si>
    <t>ESCALADO</t>
  </si>
  <si>
    <t>Suspendida</t>
  </si>
  <si>
    <t>5.Documentación ilegible</t>
  </si>
  <si>
    <t>Juan David Solarte</t>
  </si>
  <si>
    <t>3A</t>
  </si>
  <si>
    <t>Supera la edad de permanencia</t>
  </si>
  <si>
    <t>Tiene Carta - pendiente debito</t>
  </si>
  <si>
    <t>Pda Bolivar</t>
  </si>
  <si>
    <t>Tiempos días</t>
  </si>
  <si>
    <t>Pda Sibundoy</t>
  </si>
  <si>
    <t>ITP</t>
  </si>
  <si>
    <t>Diana Gaviria</t>
  </si>
  <si>
    <t>ANULADO</t>
  </si>
  <si>
    <t>6.Reclamación recibida anteriormente</t>
  </si>
  <si>
    <t>Karen Liceth Benavides</t>
  </si>
  <si>
    <t>Pendiente Pago</t>
  </si>
  <si>
    <t>3B</t>
  </si>
  <si>
    <t>No cumple con los requisitos del amparo según condiciones</t>
  </si>
  <si>
    <t>Pda El Tambo</t>
  </si>
  <si>
    <t>AXA</t>
  </si>
  <si>
    <t>Pasto Lunas</t>
  </si>
  <si>
    <t>RDH</t>
  </si>
  <si>
    <t>7.Otros motivos</t>
  </si>
  <si>
    <t>Karol Muñoz</t>
  </si>
  <si>
    <t>4A</t>
  </si>
  <si>
    <t>Amparos no Contratados</t>
  </si>
  <si>
    <t>Pda La Vega</t>
  </si>
  <si>
    <t>Liberty</t>
  </si>
  <si>
    <t>Pasto Panamericana</t>
  </si>
  <si>
    <t>DM</t>
  </si>
  <si>
    <t>Yenny Casamachin</t>
  </si>
  <si>
    <t>Miguel Angel Mesias</t>
  </si>
  <si>
    <t>4B</t>
  </si>
  <si>
    <t>Agotamiento de la cobertura por aplicación de deducible</t>
  </si>
  <si>
    <t>Pda Mercaderes</t>
  </si>
  <si>
    <t>Regional</t>
  </si>
  <si>
    <t>Pda Sandona</t>
  </si>
  <si>
    <t>AuxF</t>
  </si>
  <si>
    <t>Natalia Mutis</t>
  </si>
  <si>
    <t>1C</t>
  </si>
  <si>
    <t>No tener la Calidad de Asegurado</t>
  </si>
  <si>
    <t>Puerto Tejada</t>
  </si>
  <si>
    <t>Fecha de creacion incidencia</t>
  </si>
  <si>
    <t>Tuquerres</t>
  </si>
  <si>
    <t>Karen Benavides</t>
  </si>
  <si>
    <t>Axa Definiciones</t>
  </si>
  <si>
    <t>Yuliana Campo</t>
  </si>
  <si>
    <t>2C</t>
  </si>
  <si>
    <t>No haberse demostrado la ocurrencia del siniestro</t>
  </si>
  <si>
    <t>Piendamo</t>
  </si>
  <si>
    <t>Ipiales Centro</t>
  </si>
  <si>
    <t>3C</t>
  </si>
  <si>
    <t>Terminación de la Póliza por mora</t>
  </si>
  <si>
    <t>Popayan Ciudad Jardin</t>
  </si>
  <si>
    <t>Pda Puerres</t>
  </si>
  <si>
    <t>Danilo Chimborazo</t>
  </si>
  <si>
    <t>4C</t>
  </si>
  <si>
    <t>Prescripción Ordinaria</t>
  </si>
  <si>
    <t>Popayan Obando</t>
  </si>
  <si>
    <t>Ipiales Mistares</t>
  </si>
  <si>
    <t>SOLICITUD DE DOCUMENTOS</t>
  </si>
  <si>
    <t>Prescripción Extraordinaria</t>
  </si>
  <si>
    <t>Pda Cumbal</t>
  </si>
  <si>
    <t>Patologías preexistentes</t>
  </si>
  <si>
    <t>Santander Centenario</t>
  </si>
  <si>
    <t>Número Cuenta</t>
  </si>
  <si>
    <t>SI</t>
  </si>
  <si>
    <t>Limites, deducciones y agotamientos del valor asegurado</t>
  </si>
  <si>
    <t>Santander De Quilichao</t>
  </si>
  <si>
    <t>Timbio</t>
  </si>
  <si>
    <t>NO</t>
  </si>
  <si>
    <t>Hoy:</t>
  </si>
  <si>
    <t>Cartagena Pie De La Popa</t>
  </si>
  <si>
    <t>Costa centro</t>
  </si>
  <si>
    <t>CIUDADES</t>
  </si>
  <si>
    <t>Barranquilla Centro</t>
  </si>
  <si>
    <t>NOMBRE_MPIO</t>
  </si>
  <si>
    <t>Barranquilla Cordialidad</t>
  </si>
  <si>
    <t>Pda BellaVista</t>
  </si>
  <si>
    <t>EL ENCANTO</t>
  </si>
  <si>
    <t>Barranquilla Metrocentro</t>
  </si>
  <si>
    <t>LA CHORRERA</t>
  </si>
  <si>
    <t>Barranquilla San Francisco</t>
  </si>
  <si>
    <t>LA PEDRERA</t>
  </si>
  <si>
    <t>Barranquilla Terminal</t>
  </si>
  <si>
    <t>Número Póliza</t>
  </si>
  <si>
    <t>LA VICTORIA</t>
  </si>
  <si>
    <t>Cartagena El Bosque</t>
  </si>
  <si>
    <t>LETICIA</t>
  </si>
  <si>
    <t>Cartagena La Plazuela</t>
  </si>
  <si>
    <t>MIRITI - PARANÁ</t>
  </si>
  <si>
    <t>Pda Baranoa</t>
  </si>
  <si>
    <t>Prima Paga</t>
  </si>
  <si>
    <t>PUERTO ALEGRIA</t>
  </si>
  <si>
    <t>Pda Campo De La Cruz</t>
  </si>
  <si>
    <t>Pda Puerto Tejada</t>
  </si>
  <si>
    <t>PUERTO ARICA</t>
  </si>
  <si>
    <t>Pda Luruaco</t>
  </si>
  <si>
    <t>Santander centenario</t>
  </si>
  <si>
    <t>PUERTO NARIÑO</t>
  </si>
  <si>
    <t>Pda Malambo</t>
  </si>
  <si>
    <t>Jamundi</t>
  </si>
  <si>
    <t>PUERTO SANTANDER</t>
  </si>
  <si>
    <t>Pda Santo Tomas</t>
  </si>
  <si>
    <t>Cali La Independencia</t>
  </si>
  <si>
    <t>TARAPACÁ</t>
  </si>
  <si>
    <t>Turbaco</t>
  </si>
  <si>
    <t xml:space="preserve">
Tipo de Proceso
</t>
  </si>
  <si>
    <t>CÁCERES</t>
  </si>
  <si>
    <t>Sabanalarga</t>
  </si>
  <si>
    <t>Cali El Poblado</t>
  </si>
  <si>
    <t>CAUCASIA</t>
  </si>
  <si>
    <t>Soledad</t>
  </si>
  <si>
    <t>COVID 19</t>
  </si>
  <si>
    <t>Cali Calima</t>
  </si>
  <si>
    <t>EL BAGRE</t>
  </si>
  <si>
    <t>Carmen De Bolivar</t>
  </si>
  <si>
    <t>Costa occidente</t>
  </si>
  <si>
    <t>Cali La Floresta</t>
  </si>
  <si>
    <t>NECHÍ</t>
  </si>
  <si>
    <t>Motivo de devolucion</t>
  </si>
  <si>
    <t>Cali La Casona</t>
  </si>
  <si>
    <t>TARAZÁ</t>
  </si>
  <si>
    <t>Corozal</t>
  </si>
  <si>
    <t>Fecha de Asignación</t>
  </si>
  <si>
    <t>Palmira</t>
  </si>
  <si>
    <t>ZARAGOZA</t>
  </si>
  <si>
    <t>Lorica</t>
  </si>
  <si>
    <t>Analista Asignado</t>
  </si>
  <si>
    <t>CARACOLÍ</t>
  </si>
  <si>
    <t>Magangue</t>
  </si>
  <si>
    <t>Palmira Samanes</t>
  </si>
  <si>
    <t>MACEO</t>
  </si>
  <si>
    <t>Monteria Centro</t>
  </si>
  <si>
    <t>Pda Florida</t>
  </si>
  <si>
    <t>PUERTO BERRiO</t>
  </si>
  <si>
    <t>Monteria La Granja</t>
  </si>
  <si>
    <t>Tulua</t>
  </si>
  <si>
    <t>PUERTO NARE</t>
  </si>
  <si>
    <t>Pda Planeta Rica</t>
  </si>
  <si>
    <t>Pda Zarzal</t>
  </si>
  <si>
    <t>PUERTO TRIUNFO</t>
  </si>
  <si>
    <t>Pda San Marcos</t>
  </si>
  <si>
    <t>PDA la Union Valle</t>
  </si>
  <si>
    <t>YONDÓ</t>
  </si>
  <si>
    <t>Pda San Onofre</t>
  </si>
  <si>
    <t>Buga</t>
  </si>
  <si>
    <t>AMALFI</t>
  </si>
  <si>
    <t>Sahagun</t>
  </si>
  <si>
    <t>Fecha de Definicion (Colmena- Liberty)</t>
  </si>
  <si>
    <t>Pda El Cerrito</t>
  </si>
  <si>
    <t>ANORÍ</t>
  </si>
  <si>
    <t>Sincelejo Centro</t>
  </si>
  <si>
    <t>Armenia Centro</t>
  </si>
  <si>
    <t>CISNEROS</t>
  </si>
  <si>
    <t>Sincelejo Sur</t>
  </si>
  <si>
    <t>Pda Quimbaya</t>
  </si>
  <si>
    <t>REMEDIOS</t>
  </si>
  <si>
    <t>Santa Marta</t>
  </si>
  <si>
    <t>Costa oriente</t>
  </si>
  <si>
    <t>Pda Calarca</t>
  </si>
  <si>
    <t>SAN ROQUE</t>
  </si>
  <si>
    <t>Bosconia</t>
  </si>
  <si>
    <t>Armenia Sur</t>
  </si>
  <si>
    <t>SANTO DOMINGO</t>
  </si>
  <si>
    <t>Cienaga</t>
  </si>
  <si>
    <t>Pda Sevilla</t>
  </si>
  <si>
    <t>SEGOVIA</t>
  </si>
  <si>
    <t>Pda Codazzi</t>
  </si>
  <si>
    <t>Cntl de Consecutivo</t>
  </si>
  <si>
    <t>Pda La Tebaida</t>
  </si>
  <si>
    <t>VEGACHÍ</t>
  </si>
  <si>
    <t>Validacion Fechas</t>
  </si>
  <si>
    <t>Pereira Centro</t>
  </si>
  <si>
    <t>YALÍ</t>
  </si>
  <si>
    <t>Pda Fundación</t>
  </si>
  <si>
    <t>fecha de definicion Segun el concecutivo</t>
  </si>
  <si>
    <t>Pereira Cuba</t>
  </si>
  <si>
    <t>YOLOMBÓ</t>
  </si>
  <si>
    <t>Pda San Juan Del Cesar</t>
  </si>
  <si>
    <t>Estado de la definicion</t>
  </si>
  <si>
    <t>La Virginia</t>
  </si>
  <si>
    <t>ANGOSTURA</t>
  </si>
  <si>
    <t>Riohacha</t>
  </si>
  <si>
    <t>MOTIVO DE DEVOLUCION</t>
  </si>
  <si>
    <t>Cartago</t>
  </si>
  <si>
    <t>BELMIRA</t>
  </si>
  <si>
    <t>Santa Marta Bastidas</t>
  </si>
  <si>
    <t>Mensaje en Definicion de el consecutivo para cerrar incidencia</t>
  </si>
  <si>
    <t>Dosquebradas</t>
  </si>
  <si>
    <t>BRICEÑO</t>
  </si>
  <si>
    <t>Valledupar</t>
  </si>
  <si>
    <t>ESTADO DE LA RECLAMACION - Automatica</t>
  </si>
  <si>
    <t>Pda Santa Rosa De Cabal</t>
  </si>
  <si>
    <t>CAMPAMENTO</t>
  </si>
  <si>
    <t>Valledupar La Ceiba</t>
  </si>
  <si>
    <t>Estado_Binario - Automatica</t>
  </si>
  <si>
    <t>Florencia</t>
  </si>
  <si>
    <t>CAROLINA</t>
  </si>
  <si>
    <t>Bogota 7 De Agosto</t>
  </si>
  <si>
    <t>Cundinamarca norte</t>
  </si>
  <si>
    <t>Validar estado (Automatico Vs Manual)</t>
  </si>
  <si>
    <t>Neiva Centro</t>
  </si>
  <si>
    <t>DON MATiAS</t>
  </si>
  <si>
    <t>Bogota Las Ferias</t>
  </si>
  <si>
    <t>Copia de Tipo Reclamación</t>
  </si>
  <si>
    <t>Pda Neiva Unicentro</t>
  </si>
  <si>
    <t>ENTRERRIOS</t>
  </si>
  <si>
    <t>Bogota Chico</t>
  </si>
  <si>
    <t>GÓMEZ PLATA</t>
  </si>
  <si>
    <t>Chía</t>
  </si>
  <si>
    <t>OBSERVACIÓN general (Para la aseguradora)</t>
  </si>
  <si>
    <t>Pda Palermo</t>
  </si>
  <si>
    <t>GUADALUPE</t>
  </si>
  <si>
    <t>Chiquinquira</t>
  </si>
  <si>
    <t>FECHA DEBITO BMM (Agregar cantidades para estar pte)</t>
  </si>
  <si>
    <t>Neiva Altico</t>
  </si>
  <si>
    <t>ITUANGO</t>
  </si>
  <si>
    <t>Duitama</t>
  </si>
  <si>
    <t>Obserbacion de Debito BMM-Monto debito AXA</t>
  </si>
  <si>
    <t>Pda Campoalegre</t>
  </si>
  <si>
    <t>SAN ANDRÉS</t>
  </si>
  <si>
    <t>Facatativa</t>
  </si>
  <si>
    <t>FECHA DEBITO BENEFICIARIOS - siniestros nuevos</t>
  </si>
  <si>
    <t>Garzon</t>
  </si>
  <si>
    <t>SAN JOSÉ DE LA MONTAÑA</t>
  </si>
  <si>
    <t>Pda Alamos</t>
  </si>
  <si>
    <t>Obserbacion de Debito BMM beneficiarios</t>
  </si>
  <si>
    <t>Pda La Plata</t>
  </si>
  <si>
    <t>SAN PEDRO</t>
  </si>
  <si>
    <t>Pda Barbosa</t>
  </si>
  <si>
    <t>ESTADO + AMPARO (Para informe)</t>
  </si>
  <si>
    <t>Pitalito</t>
  </si>
  <si>
    <t>SANTA ROSA de osos</t>
  </si>
  <si>
    <t>Pda Fontibón</t>
  </si>
  <si>
    <t>AMPARO</t>
  </si>
  <si>
    <t>Pda Isnos</t>
  </si>
  <si>
    <t>TOLEDO</t>
  </si>
  <si>
    <t>Pda Madrid</t>
  </si>
  <si>
    <t>AMPARO + MES + ASEGURADORA</t>
  </si>
  <si>
    <t>Pitalito Sucre</t>
  </si>
  <si>
    <t>VALDIVIA</t>
  </si>
  <si>
    <t>Pda Toberin</t>
  </si>
  <si>
    <t>longitud de siniestro</t>
  </si>
  <si>
    <t>Pda Mocoa</t>
  </si>
  <si>
    <t>YARUMAL</t>
  </si>
  <si>
    <t>Pda Ubate</t>
  </si>
  <si>
    <t>Mes</t>
  </si>
  <si>
    <t>ABRIAQUÍ</t>
  </si>
  <si>
    <t>Pda Villeta</t>
  </si>
  <si>
    <t>AÑO</t>
  </si>
  <si>
    <t>Pda Ricaurte</t>
  </si>
  <si>
    <t>ANZA</t>
  </si>
  <si>
    <t>Sogamoso</t>
  </si>
  <si>
    <t>Estado para El Informe X</t>
  </si>
  <si>
    <t>Ibague Jordan</t>
  </si>
  <si>
    <t>ARMENIA</t>
  </si>
  <si>
    <t>Suba</t>
  </si>
  <si>
    <t>Solo radicadas x amparo</t>
  </si>
  <si>
    <t>Pda El Salado</t>
  </si>
  <si>
    <t>BURITICÁ</t>
  </si>
  <si>
    <t>Tunja</t>
  </si>
  <si>
    <t>Informe Tiempos Colmena</t>
  </si>
  <si>
    <t>Ibague La Quinta</t>
  </si>
  <si>
    <t>CAÑASGORDAS</t>
  </si>
  <si>
    <t>Zipaquira</t>
  </si>
  <si>
    <t>cantidad de Incidencias (formulas)</t>
  </si>
  <si>
    <t>Pda Ambala</t>
  </si>
  <si>
    <t>DABEIBA</t>
  </si>
  <si>
    <t>Bogota Kennedy</t>
  </si>
  <si>
    <t>Cundinamarca sur</t>
  </si>
  <si>
    <t># SINIESTRO (formulas)</t>
  </si>
  <si>
    <t>La Dorada</t>
  </si>
  <si>
    <t>EBÉJICO</t>
  </si>
  <si>
    <t>Bogota 20 De Julio</t>
  </si>
  <si>
    <t>Estado de la incidencia - Para Radicar ante la incidencia (De recibido a Radicado)</t>
  </si>
  <si>
    <t>Pda Mariquita</t>
  </si>
  <si>
    <t>FRONTINO</t>
  </si>
  <si>
    <t>Bosa Brasil</t>
  </si>
  <si>
    <t>Siniestro Axa Concatenenado</t>
  </si>
  <si>
    <t>GIRALDO</t>
  </si>
  <si>
    <t>Ciudad Bolivar</t>
  </si>
  <si>
    <t xml:space="preserve">Rango pendientes axa </t>
  </si>
  <si>
    <t>Pda Chaparral</t>
  </si>
  <si>
    <t>HELICONIA</t>
  </si>
  <si>
    <t>Pda Bosa</t>
  </si>
  <si>
    <t>Indicador fila</t>
  </si>
  <si>
    <t>Pda Saldaña</t>
  </si>
  <si>
    <t>LIBORINA</t>
  </si>
  <si>
    <t>Pda Caqueza</t>
  </si>
  <si>
    <t>Girardot</t>
  </si>
  <si>
    <t>OLAYA</t>
  </si>
  <si>
    <t>Pda La Victoria</t>
  </si>
  <si>
    <t>Pda Melgar</t>
  </si>
  <si>
    <t>PEQUE</t>
  </si>
  <si>
    <t>Pda Molinos</t>
  </si>
  <si>
    <t>Fusagasuga</t>
  </si>
  <si>
    <t>SABANALARGA</t>
  </si>
  <si>
    <t>Pda Plaza Ensueño</t>
  </si>
  <si>
    <t>La Mesa</t>
  </si>
  <si>
    <t>SAN JERÓNIMO</t>
  </si>
  <si>
    <t>Pda Soacha Autopista</t>
  </si>
  <si>
    <t>SANTAFÉ DE ANTIOQUIA</t>
  </si>
  <si>
    <t>Santa Librada</t>
  </si>
  <si>
    <t>SOPETRaN</t>
  </si>
  <si>
    <t>Soacha</t>
  </si>
  <si>
    <t>URAMITA</t>
  </si>
  <si>
    <t>Pda Patio Bonito</t>
  </si>
  <si>
    <t>ABEJORRAL</t>
  </si>
  <si>
    <t>Eje cafetero</t>
  </si>
  <si>
    <t>ALEJANDRÍA</t>
  </si>
  <si>
    <t>ARGELIA</t>
  </si>
  <si>
    <t>CARMEN DE VIBORAL</t>
  </si>
  <si>
    <t>COCORNÁ</t>
  </si>
  <si>
    <t>CONCEPCIÓN</t>
  </si>
  <si>
    <t>GRANADA</t>
  </si>
  <si>
    <t>GUARNE</t>
  </si>
  <si>
    <t>Pda Riosucio</t>
  </si>
  <si>
    <t>Chia</t>
  </si>
  <si>
    <t>GUATAPE</t>
  </si>
  <si>
    <t>LA CEJA</t>
  </si>
  <si>
    <t>LA UNIÓN</t>
  </si>
  <si>
    <t>MARINILLA</t>
  </si>
  <si>
    <t>NARIÑO</t>
  </si>
  <si>
    <t>Pda Kennedy Central</t>
  </si>
  <si>
    <t>PEÑOL</t>
  </si>
  <si>
    <t>Huila</t>
  </si>
  <si>
    <t>RETIRO</t>
  </si>
  <si>
    <t>PDA SOACHA AUTOPISTA</t>
  </si>
  <si>
    <t>RIONEGRO</t>
  </si>
  <si>
    <t>SAN CARLOS</t>
  </si>
  <si>
    <t>SAN FRANCISCO</t>
  </si>
  <si>
    <t>SAN LUIS</t>
  </si>
  <si>
    <t>SAN RAFAEL</t>
  </si>
  <si>
    <t>SAN VICENTE</t>
  </si>
  <si>
    <t>Mocoa</t>
  </si>
  <si>
    <t>SANTUARIO</t>
  </si>
  <si>
    <t>SONSON</t>
  </si>
  <si>
    <t>Pda Ingles</t>
  </si>
  <si>
    <t>AMAGa</t>
  </si>
  <si>
    <t>Pda Puerto Asis</t>
  </si>
  <si>
    <t>Acacias</t>
  </si>
  <si>
    <t>ANDES</t>
  </si>
  <si>
    <t>Guamal</t>
  </si>
  <si>
    <t>ANGELOPOLIS</t>
  </si>
  <si>
    <t>Mi Llanura</t>
  </si>
  <si>
    <t>BETANIA</t>
  </si>
  <si>
    <t>Puerto Lopez</t>
  </si>
  <si>
    <t>BETULIA</t>
  </si>
  <si>
    <t>Pda Orito</t>
  </si>
  <si>
    <t>CAICEDO</t>
  </si>
  <si>
    <t>Llanos orientales</t>
  </si>
  <si>
    <t>Villavicencio Centro</t>
  </si>
  <si>
    <t>CARAMANTA</t>
  </si>
  <si>
    <t>Pda Villanueva</t>
  </si>
  <si>
    <t>CIUDAD BOLÍVAR</t>
  </si>
  <si>
    <t>Yopal</t>
  </si>
  <si>
    <t>CONCORDIA</t>
  </si>
  <si>
    <t>Pda Paz De Ariporo</t>
  </si>
  <si>
    <t>FREDONIA</t>
  </si>
  <si>
    <t>Las Delicias</t>
  </si>
  <si>
    <t>HISPANIA</t>
  </si>
  <si>
    <t>Aguachica</t>
  </si>
  <si>
    <t>JARDÍN</t>
  </si>
  <si>
    <t>Sotomayor</t>
  </si>
  <si>
    <t>JERICÓ</t>
  </si>
  <si>
    <t>Pie de cuesta</t>
  </si>
  <si>
    <t>LA PINTADA</t>
  </si>
  <si>
    <t>El Libertador</t>
  </si>
  <si>
    <t>MONTEBELLO</t>
  </si>
  <si>
    <t>Girón</t>
  </si>
  <si>
    <t>PUEBLORRICO</t>
  </si>
  <si>
    <t>Floridablanca</t>
  </si>
  <si>
    <t>SALGAR</t>
  </si>
  <si>
    <t>Pda Puerto Gaitan</t>
  </si>
  <si>
    <t>Barrancabermeja</t>
  </si>
  <si>
    <t>SANTA BaRBARA</t>
  </si>
  <si>
    <t>Nariño</t>
  </si>
  <si>
    <t>San Gil</t>
  </si>
  <si>
    <t>TÁMESIS</t>
  </si>
  <si>
    <t>La Unión</t>
  </si>
  <si>
    <t>TARSO</t>
  </si>
  <si>
    <t>BARRANQUILLA Soledad</t>
  </si>
  <si>
    <t>TITIRIBÍ</t>
  </si>
  <si>
    <t>Pasto Las Lunas</t>
  </si>
  <si>
    <t>URRAO</t>
  </si>
  <si>
    <t>VALPARAISO</t>
  </si>
  <si>
    <t>VENECIA</t>
  </si>
  <si>
    <t>Cumbal</t>
  </si>
  <si>
    <t>APARTADÓ</t>
  </si>
  <si>
    <t>Pda El Tambo Nariño</t>
  </si>
  <si>
    <t>ARBOLETES</t>
  </si>
  <si>
    <t>Pda Gualmatan</t>
  </si>
  <si>
    <t>BARRANQUILLA TERMINAL</t>
  </si>
  <si>
    <t>CAREPA</t>
  </si>
  <si>
    <t>CHIGORODÓ</t>
  </si>
  <si>
    <t>MURINDÓ</t>
  </si>
  <si>
    <t>MUTATA</t>
  </si>
  <si>
    <t>NECOCLÍ</t>
  </si>
  <si>
    <t>SAN JUAN DE URABA</t>
  </si>
  <si>
    <t>SAN PEDRO DE URABA</t>
  </si>
  <si>
    <t>Pasto la aurora</t>
  </si>
  <si>
    <t>TURBO</t>
  </si>
  <si>
    <t>Ipiales champagnat</t>
  </si>
  <si>
    <t>Pda Turbaco</t>
  </si>
  <si>
    <t>VIGÍA DEL FUERTE</t>
  </si>
  <si>
    <t>Pda La Cruz</t>
  </si>
  <si>
    <t>BARBOSA</t>
  </si>
  <si>
    <t>Pda Guachucal</t>
  </si>
  <si>
    <t>BELLO</t>
  </si>
  <si>
    <t>Pda Buesaco</t>
  </si>
  <si>
    <t>CALDAS</t>
  </si>
  <si>
    <t>Nororiente</t>
  </si>
  <si>
    <t>COPACABANA</t>
  </si>
  <si>
    <t>ENVIGADO</t>
  </si>
  <si>
    <t>Bucaramanga El Libertador</t>
  </si>
  <si>
    <t>GIRARDOTA</t>
  </si>
  <si>
    <t>ITAGUI</t>
  </si>
  <si>
    <t>Piedecuesta</t>
  </si>
  <si>
    <t>LA ESTRELLA</t>
  </si>
  <si>
    <t>Pda Montelibano</t>
  </si>
  <si>
    <t>MEDELLÍN</t>
  </si>
  <si>
    <t>SABANETA</t>
  </si>
  <si>
    <t>Tolima</t>
  </si>
  <si>
    <t>ARAUCA</t>
  </si>
  <si>
    <t>Cerete</t>
  </si>
  <si>
    <t>ARAUQUITA</t>
  </si>
  <si>
    <t>CRAVO NORTE</t>
  </si>
  <si>
    <t>FORTUL</t>
  </si>
  <si>
    <t>PUERTO RONDÓN</t>
  </si>
  <si>
    <t>Pda Cienaga</t>
  </si>
  <si>
    <t>SARAVENA</t>
  </si>
  <si>
    <t>TAME</t>
  </si>
  <si>
    <t>Pda Fundacion</t>
  </si>
  <si>
    <t>PROVIDENCIA Y SANTA CATALINA</t>
  </si>
  <si>
    <t>SAN ANDReS</t>
  </si>
  <si>
    <t>Chaparral</t>
  </si>
  <si>
    <t>BARRANQUILLA</t>
  </si>
  <si>
    <t>GALAPA</t>
  </si>
  <si>
    <t>Mariquita</t>
  </si>
  <si>
    <t>MALAMBO</t>
  </si>
  <si>
    <t>Pda Curumani</t>
  </si>
  <si>
    <t>PUERTO COLOMBIA</t>
  </si>
  <si>
    <t>Pda Bosconia</t>
  </si>
  <si>
    <t>SOLEDAD</t>
  </si>
  <si>
    <t>CAMPO DE LA CRUZ</t>
  </si>
  <si>
    <t>Valle del cauca</t>
  </si>
  <si>
    <t>Pda Las delicias</t>
  </si>
  <si>
    <t>CANDELARIA</t>
  </si>
  <si>
    <t>PDA BARBOSA</t>
  </si>
  <si>
    <t>LURUACO</t>
  </si>
  <si>
    <t>Cali Centro</t>
  </si>
  <si>
    <t>MANATi</t>
  </si>
  <si>
    <t>PDA PUERTO ASIS</t>
  </si>
  <si>
    <t>REPELON</t>
  </si>
  <si>
    <t>SANTA LUCiA</t>
  </si>
  <si>
    <t>PDA VILLETA</t>
  </si>
  <si>
    <t>SUAN</t>
  </si>
  <si>
    <t>PDA Riosucio</t>
  </si>
  <si>
    <t>BARANOA</t>
  </si>
  <si>
    <t>PDA Gualmatan</t>
  </si>
  <si>
    <t>PALMAR DE VARELA</t>
  </si>
  <si>
    <t>PDA Molinos</t>
  </si>
  <si>
    <t>POLONUEVO</t>
  </si>
  <si>
    <t>PONEDERA</t>
  </si>
  <si>
    <t>Sabanagrande</t>
  </si>
  <si>
    <t>ACTUALIZACION 21/12/2021</t>
  </si>
  <si>
    <t>Santo Tomas</t>
  </si>
  <si>
    <t>Florida</t>
  </si>
  <si>
    <t>COORDINADOR REGIONAL</t>
  </si>
  <si>
    <t>JUAN DE ACOSTA</t>
  </si>
  <si>
    <t>CELULAR</t>
  </si>
  <si>
    <t>EXTENSIÓN</t>
  </si>
  <si>
    <t>Pda La Union (Valle)</t>
  </si>
  <si>
    <t>Pda Bella Vista</t>
  </si>
  <si>
    <t>PDA La Vega</t>
  </si>
  <si>
    <t>PDA Barbosa</t>
  </si>
  <si>
    <t>PDA Villeta</t>
  </si>
  <si>
    <t>https://www.elempleo.com/co/noticias/noticias-laborales/que-dias-festivos-disfrutaran-los-colombianos-en-2022-6593</t>
  </si>
  <si>
    <t>PDA Puerto Asis</t>
  </si>
  <si>
    <t>PDA Las Delicias</t>
  </si>
  <si>
    <t>PdA El Tambo Nariño</t>
  </si>
  <si>
    <t>Sede administrativa</t>
  </si>
  <si>
    <t>ACTUALIZACION 01/03/2023</t>
  </si>
  <si>
    <t>CORREO</t>
  </si>
  <si>
    <t>Manizales</t>
  </si>
  <si>
    <t>Pda Villagarzon</t>
  </si>
  <si>
    <t>Nariño Norte</t>
  </si>
  <si>
    <t>Pda Linares</t>
  </si>
  <si>
    <t>Nariño Sur</t>
  </si>
  <si>
    <t>Pda Los Andes</t>
  </si>
  <si>
    <t>El Salado</t>
  </si>
  <si>
    <t>Ricaurte</t>
  </si>
  <si>
    <t>Pda Plaza  Ensueño</t>
  </si>
  <si>
    <t>Pda Soacha Autopista          </t>
  </si>
  <si>
    <t>#REF!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</si>
</sst>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quot;/&quot;mm&quot;/&quot;yyyy"/>
    <numFmt numFmtId="165" formatCode="d/m/yyyy"/>
    <numFmt numFmtId="166" formatCode="d/mm/yyyy"/>
  </numFmts>
  <fonts count="30" x14ac:knownFonts="1">
    <font>
      <sz val="10"/>
      <color rgb="FF000000"/>
      <name val="Calibri"/>
      <scheme val="minor"/>
    </font>
    <font>
      <b/>
      <sz val="11"/>
      <color theme="1"/>
      <name val="Arial"/>
    </font>
    <font>
      <b/>
      <sz val="11"/>
      <color rgb="FF000000"/>
      <name val="Arial"/>
    </font>
    <font>
      <b/>
      <sz val="11"/>
      <color rgb="FFFFFFFF"/>
      <name val="Arial"/>
    </font>
    <font>
      <sz val="11"/>
      <color theme="1"/>
      <name val="Calibri"/>
    </font>
    <font>
      <b/>
      <sz val="9"/>
      <color theme="1"/>
      <name val="Calibri"/>
    </font>
    <font>
      <b/>
      <sz val="9"/>
      <color rgb="FF000000"/>
      <name val="Calibri"/>
    </font>
    <font>
      <b/>
      <i/>
      <sz val="10"/>
      <color theme="1"/>
      <name val="Calibri"/>
    </font>
    <font>
      <sz val="10"/>
      <color theme="1"/>
      <name val="Calibri"/>
      <scheme val="minor"/>
    </font>
    <font>
      <b/>
      <sz val="10"/>
      <color rgb="FF000000"/>
      <name val="Arial"/>
    </font>
    <font>
      <sz val="10"/>
      <color theme="0"/>
      <name val="Calibri"/>
      <scheme val="minor"/>
    </font>
    <font>
      <sz val="11"/>
      <color rgb="FF000000"/>
      <name val="Calibri"/>
    </font>
    <font>
      <sz val="9"/>
      <color theme="1"/>
      <name val="Calibri"/>
    </font>
    <font>
      <sz val="10"/>
      <color theme="1"/>
      <name val="Calibri"/>
    </font>
    <font>
      <sz val="11"/>
      <color theme="1"/>
      <name val="Arial"/>
    </font>
    <font>
      <sz val="12"/>
      <color theme="1"/>
      <name val="Arial"/>
    </font>
    <font>
      <sz val="9"/>
      <color rgb="FF000000"/>
      <name val="Arial"/>
    </font>
    <font>
      <sz val="10"/>
      <color rgb="FF000000"/>
      <name val="Calibri"/>
    </font>
    <font>
      <sz val="9"/>
      <color theme="1"/>
      <name val="Arial"/>
    </font>
    <font>
      <sz val="10"/>
      <color rgb="FFFFFFFF"/>
      <name val="Calibri"/>
      <scheme val="minor"/>
    </font>
    <font>
      <sz val="10"/>
      <name val="Calibri"/>
    </font>
    <font>
      <sz val="11"/>
      <color rgb="FF2C2C4D"/>
      <name val="Calibri"/>
    </font>
    <font>
      <b/>
      <sz val="11"/>
      <color theme="1"/>
      <name val="Calibri"/>
    </font>
    <font>
      <b/>
      <sz val="10"/>
      <color rgb="FF000000"/>
      <name val="Calibri"/>
    </font>
    <font>
      <sz val="11"/>
      <color theme="0"/>
      <name val="Calibri"/>
    </font>
    <font>
      <b/>
      <sz val="9"/>
      <color rgb="FF000000"/>
      <name val="Arial"/>
    </font>
    <font>
      <u/>
      <sz val="11"/>
      <color rgb="FF1155CC"/>
      <name val="Calibri"/>
    </font>
    <font>
      <u/>
      <sz val="11"/>
      <color rgb="FF1155CC"/>
      <name val="Calibri"/>
    </font>
    <font>
      <sz val="11"/>
      <color rgb="FFFFFFFF"/>
      <name val="Calibri"/>
    </font>
    <font>
      <b/>
      <sz val="10"/>
      <color rgb="FFFFFFFF"/>
      <name val="Arial"/>
    </font>
  </fonts>
  <fills count="13">
    <fill>
      <patternFill patternType="none"/>
    </fill>
    <fill>
      <patternFill patternType="gray125"/>
    </fill>
    <fill>
      <patternFill patternType="solid">
        <fgColor rgb="FFC9DAF8"/>
        <bgColor rgb="FFC9DAF8"/>
      </patternFill>
    </fill>
    <fill>
      <patternFill patternType="solid">
        <fgColor rgb="FFBDD6EE"/>
        <bgColor rgb="FFBDD6EE"/>
      </patternFill>
    </fill>
    <fill>
      <patternFill patternType="solid">
        <fgColor rgb="FFD9D9D9"/>
        <bgColor rgb="FFD9D9D9"/>
      </patternFill>
    </fill>
    <fill>
      <patternFill patternType="solid">
        <fgColor theme="1"/>
        <bgColor theme="1"/>
      </patternFill>
    </fill>
    <fill>
      <patternFill patternType="solid">
        <fgColor rgb="FFFFFF00"/>
        <bgColor rgb="FFFFFF00"/>
      </patternFill>
    </fill>
    <fill>
      <patternFill patternType="solid">
        <fgColor rgb="FFA4C2F4"/>
        <bgColor rgb="FFA4C2F4"/>
      </patternFill>
    </fill>
    <fill>
      <patternFill patternType="solid">
        <fgColor rgb="FF00FFFF"/>
        <bgColor rgb="FF00FFFF"/>
      </patternFill>
    </fill>
    <fill>
      <patternFill patternType="solid">
        <fgColor rgb="FFD9EAD3"/>
        <bgColor rgb="FFD9EAD3"/>
      </patternFill>
    </fill>
    <fill>
      <patternFill patternType="solid">
        <fgColor rgb="FF434343"/>
        <bgColor rgb="FF434343"/>
      </patternFill>
    </fill>
    <fill>
      <patternFill patternType="solid">
        <fgColor rgb="FFFFFFFF"/>
        <bgColor rgb="FFFFFFFF"/>
      </patternFill>
    </fill>
    <fill>
      <patternFill patternType="solid">
        <fgColor rgb="FF333F4F"/>
        <bgColor rgb="FF333F4F"/>
      </patternFill>
    </fill>
  </fills>
  <borders count="14">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right style="thin">
        <color rgb="FF808080"/>
      </right>
      <top style="thin">
        <color rgb="FF808080"/>
      </top>
      <bottom style="thin">
        <color rgb="FF808080"/>
      </bottom>
      <diagonal/>
    </border>
    <border>
      <left style="thin">
        <color rgb="FF808080"/>
      </left>
      <right style="thin">
        <color rgb="FF808080"/>
      </right>
      <top style="thin">
        <color rgb="FF808080"/>
      </top>
      <bottom style="thin">
        <color rgb="FF808080"/>
      </bottom>
      <diagonal/>
    </border>
    <border>
      <left style="medium">
        <color rgb="FFCCCCCC"/>
      </left>
      <right style="medium">
        <color rgb="FFCCCCCC"/>
      </right>
      <top style="medium">
        <color rgb="FFCCCCCC"/>
      </top>
      <bottom style="medium">
        <color rgb="FFCCCCCC"/>
      </bottom>
      <diagonal/>
    </border>
    <border>
      <left/>
      <right style="thin">
        <color rgb="FF808080"/>
      </right>
      <top/>
      <bottom style="thin">
        <color rgb="FF808080"/>
      </bottom>
      <diagonal/>
    </border>
    <border>
      <left style="thin">
        <color rgb="FF808080"/>
      </left>
      <right style="thin">
        <color rgb="FF808080"/>
      </right>
      <top/>
      <bottom style="thin">
        <color rgb="FF80808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808080"/>
      </top>
      <bottom style="thin">
        <color rgb="FF808080"/>
      </bottom>
      <diagonal/>
    </border>
    <border>
      <left style="thin">
        <color rgb="FF808080"/>
      </left>
      <right/>
      <top style="thin">
        <color rgb="FF808080"/>
      </top>
      <bottom style="thin">
        <color rgb="FF808080"/>
      </bottom>
      <diagonal/>
    </border>
    <border>
      <left style="thin">
        <color rgb="FF808080"/>
      </left>
      <right style="thin">
        <color rgb="FF808080"/>
      </right>
      <top/>
      <bottom/>
      <diagonal/>
    </border>
  </borders>
  <cellStyleXfs count="1">
    <xf numFmtId="0" fontId="0" fillId="0" borderId="0"/>
  </cellStyleXfs>
  <cellXfs count="90">
    <xf numFmtId="0" fontId="0" fillId="0" borderId="0" xfId="0"/>
    <xf numFmtId="0" fontId="1" fillId="2" borderId="1" xfId="0" applyFont="1" applyFill="1" applyBorder="1" applyAlignment="1">
      <alignment horizontal="center" wrapText="1"/>
    </xf>
    <xf numFmtId="164" fontId="2" fillId="2" borderId="1" xfId="0" applyNumberFormat="1" applyFont="1" applyFill="1" applyBorder="1" applyAlignment="1">
      <alignment horizontal="center" wrapText="1"/>
    </xf>
    <xf numFmtId="164" fontId="1" fillId="2" borderId="1" xfId="0" applyNumberFormat="1" applyFont="1" applyFill="1" applyBorder="1" applyAlignment="1">
      <alignment horizontal="center" wrapText="1"/>
    </xf>
    <xf numFmtId="165" fontId="1" fillId="2" borderId="1" xfId="0" applyNumberFormat="1" applyFont="1" applyFill="1" applyBorder="1" applyAlignment="1">
      <alignment horizontal="center" wrapText="1"/>
    </xf>
    <xf numFmtId="0" fontId="2" fillId="2" borderId="1" xfId="0" applyFont="1" applyFill="1" applyBorder="1" applyAlignment="1">
      <alignment horizontal="center" wrapText="1"/>
    </xf>
    <xf numFmtId="0" fontId="2" fillId="2" borderId="1" xfId="0" applyFont="1" applyFill="1" applyBorder="1" applyAlignment="1">
      <alignment horizontal="right" wrapText="1"/>
    </xf>
    <xf numFmtId="1" fontId="3" fillId="2" borderId="1" xfId="0" applyNumberFormat="1" applyFont="1" applyFill="1" applyBorder="1" applyAlignment="1">
      <alignment horizontal="center" wrapText="1"/>
    </xf>
    <xf numFmtId="165" fontId="3" fillId="2" borderId="1" xfId="0" applyNumberFormat="1" applyFont="1" applyFill="1" applyBorder="1" applyAlignment="1">
      <alignment horizontal="center" wrapText="1"/>
    </xf>
    <xf numFmtId="0" fontId="4" fillId="0" borderId="1" xfId="0" applyFont="1" applyBorder="1"/>
    <xf numFmtId="14" fontId="4" fillId="0" borderId="1" xfId="0" applyNumberFormat="1" applyFont="1" applyBorder="1"/>
    <xf numFmtId="165" fontId="4" fillId="0" borderId="1" xfId="0" applyNumberFormat="1" applyFont="1" applyBorder="1"/>
    <xf numFmtId="0" fontId="5" fillId="3" borderId="2" xfId="0" applyFont="1" applyFill="1" applyBorder="1" applyAlignment="1">
      <alignment vertical="center"/>
    </xf>
    <xf numFmtId="0" fontId="6" fillId="3" borderId="2" xfId="0" applyFont="1" applyFill="1" applyBorder="1" applyAlignment="1">
      <alignment horizontal="center" vertical="center"/>
    </xf>
    <xf numFmtId="0" fontId="6" fillId="3" borderId="2" xfId="0" applyFont="1" applyFill="1" applyBorder="1" applyAlignment="1">
      <alignment horizontal="center" vertical="center" wrapText="1"/>
    </xf>
    <xf numFmtId="0" fontId="5" fillId="3" borderId="2" xfId="0" applyFont="1" applyFill="1" applyBorder="1"/>
    <xf numFmtId="14" fontId="6" fillId="3" borderId="0" xfId="0" applyNumberFormat="1" applyFont="1" applyFill="1" applyAlignment="1">
      <alignment horizontal="center" wrapText="1"/>
    </xf>
    <xf numFmtId="0" fontId="7" fillId="0" borderId="0" xfId="0" applyFont="1"/>
    <xf numFmtId="0" fontId="6" fillId="3" borderId="0" xfId="0" applyFont="1" applyFill="1" applyAlignment="1">
      <alignment horizontal="center" wrapText="1"/>
    </xf>
    <xf numFmtId="0" fontId="8" fillId="0" borderId="0" xfId="0" applyFont="1"/>
    <xf numFmtId="0" fontId="9" fillId="4" borderId="3" xfId="0" applyFont="1" applyFill="1" applyBorder="1" applyAlignment="1">
      <alignment horizontal="center"/>
    </xf>
    <xf numFmtId="0" fontId="9" fillId="4" borderId="4" xfId="0" applyFont="1" applyFill="1" applyBorder="1" applyAlignment="1">
      <alignment horizontal="center"/>
    </xf>
    <xf numFmtId="0" fontId="10" fillId="5" borderId="0" xfId="0" applyFont="1" applyFill="1"/>
    <xf numFmtId="14" fontId="11" fillId="0" borderId="5" xfId="0" applyNumberFormat="1" applyFont="1" applyBorder="1" applyAlignment="1">
      <alignment horizontal="right" vertical="center" wrapText="1"/>
    </xf>
    <xf numFmtId="0" fontId="12" fillId="0" borderId="0" xfId="0" applyFont="1" applyAlignment="1">
      <alignment vertical="center"/>
    </xf>
    <xf numFmtId="0" fontId="12" fillId="0" borderId="0" xfId="0" applyFont="1" applyAlignment="1">
      <alignment horizontal="center" vertical="center"/>
    </xf>
    <xf numFmtId="0" fontId="4" fillId="0" borderId="0" xfId="0" applyFont="1" applyAlignment="1">
      <alignment horizontal="center"/>
    </xf>
    <xf numFmtId="0" fontId="11" fillId="0" borderId="0" xfId="0" applyFont="1" applyAlignment="1">
      <alignment wrapText="1"/>
    </xf>
    <xf numFmtId="0" fontId="4" fillId="0" borderId="0" xfId="0" applyFont="1" applyAlignment="1">
      <alignment wrapText="1"/>
    </xf>
    <xf numFmtId="0" fontId="11" fillId="0" borderId="0" xfId="0" applyFont="1"/>
    <xf numFmtId="0" fontId="11" fillId="0" borderId="0" xfId="0" applyFont="1" applyAlignment="1">
      <alignment vertical="center"/>
    </xf>
    <xf numFmtId="0" fontId="4" fillId="0" borderId="0" xfId="0" applyFont="1"/>
    <xf numFmtId="0" fontId="13" fillId="0" borderId="0" xfId="0" applyFont="1"/>
    <xf numFmtId="0" fontId="14" fillId="0" borderId="0" xfId="0" applyFont="1"/>
    <xf numFmtId="0" fontId="13" fillId="6" borderId="0" xfId="0" applyFont="1" applyFill="1"/>
    <xf numFmtId="0" fontId="15" fillId="7" borderId="0" xfId="0" applyFont="1" applyFill="1"/>
    <xf numFmtId="0" fontId="16" fillId="0" borderId="6" xfId="0" applyFont="1" applyBorder="1" applyAlignment="1">
      <alignment horizontal="center"/>
    </xf>
    <xf numFmtId="0" fontId="16" fillId="0" borderId="7" xfId="0" applyFont="1" applyBorder="1"/>
    <xf numFmtId="14" fontId="11" fillId="0" borderId="5" xfId="0" applyNumberFormat="1" applyFont="1" applyBorder="1" applyAlignment="1">
      <alignment horizontal="right" wrapText="1"/>
    </xf>
    <xf numFmtId="0" fontId="17" fillId="0" borderId="0" xfId="0" applyFont="1" applyAlignment="1">
      <alignment vertical="center"/>
    </xf>
    <xf numFmtId="0" fontId="17" fillId="0" borderId="0" xfId="0" applyFont="1" applyAlignment="1">
      <alignment horizontal="center" vertical="center"/>
    </xf>
    <xf numFmtId="0" fontId="18" fillId="0" borderId="4" xfId="0" applyFont="1" applyBorder="1" applyAlignment="1">
      <alignment horizontal="center"/>
    </xf>
    <xf numFmtId="0" fontId="18" fillId="0" borderId="3" xfId="0" applyFont="1" applyBorder="1"/>
    <xf numFmtId="0" fontId="8" fillId="0" borderId="1" xfId="0" applyFont="1" applyBorder="1"/>
    <xf numFmtId="0" fontId="14" fillId="8" borderId="0" xfId="0" applyFont="1" applyFill="1"/>
    <xf numFmtId="0" fontId="18" fillId="0" borderId="7" xfId="0" applyFont="1" applyBorder="1" applyAlignment="1">
      <alignment horizontal="center"/>
    </xf>
    <xf numFmtId="0" fontId="18" fillId="0" borderId="6" xfId="0" applyFont="1" applyBorder="1"/>
    <xf numFmtId="0" fontId="15" fillId="9" borderId="0" xfId="0" applyFont="1" applyFill="1"/>
    <xf numFmtId="0" fontId="21" fillId="0" borderId="0" xfId="0" applyFont="1"/>
    <xf numFmtId="166" fontId="8" fillId="0" borderId="0" xfId="0" applyNumberFormat="1" applyFont="1"/>
    <xf numFmtId="0" fontId="22" fillId="0" borderId="0" xfId="0" applyFont="1"/>
    <xf numFmtId="14" fontId="4" fillId="0" borderId="0" xfId="0" applyNumberFormat="1" applyFont="1"/>
    <xf numFmtId="0" fontId="23" fillId="0" borderId="0" xfId="0" applyFont="1" applyAlignment="1">
      <alignment horizontal="center" vertical="center"/>
    </xf>
    <xf numFmtId="14" fontId="11" fillId="0" borderId="0" xfId="0" applyNumberFormat="1" applyFont="1" applyAlignment="1">
      <alignment horizontal="right"/>
    </xf>
    <xf numFmtId="0" fontId="4" fillId="0" borderId="0" xfId="0" applyFont="1" applyAlignment="1">
      <alignment horizontal="center" vertical="center"/>
    </xf>
    <xf numFmtId="0" fontId="16" fillId="11" borderId="0" xfId="0" applyFont="1" applyFill="1" applyAlignment="1">
      <alignment horizontal="left"/>
    </xf>
    <xf numFmtId="0" fontId="25" fillId="4" borderId="4" xfId="0" applyFont="1" applyFill="1" applyBorder="1" applyAlignment="1">
      <alignment horizontal="center"/>
    </xf>
    <xf numFmtId="0" fontId="25" fillId="4" borderId="3" xfId="0" applyFont="1" applyFill="1" applyBorder="1" applyAlignment="1">
      <alignment horizontal="center"/>
    </xf>
    <xf numFmtId="0" fontId="25" fillId="4" borderId="11" xfId="0" applyFont="1" applyFill="1" applyBorder="1" applyAlignment="1">
      <alignment horizontal="center"/>
    </xf>
    <xf numFmtId="0" fontId="18" fillId="0" borderId="6" xfId="0" applyFont="1" applyBorder="1" applyAlignment="1">
      <alignment horizontal="center"/>
    </xf>
    <xf numFmtId="0" fontId="16" fillId="0" borderId="6" xfId="0" applyFont="1" applyBorder="1"/>
    <xf numFmtId="14" fontId="11" fillId="6" borderId="0" xfId="0" applyNumberFormat="1" applyFont="1" applyFill="1" applyAlignment="1">
      <alignment horizontal="right"/>
    </xf>
    <xf numFmtId="14" fontId="11" fillId="6" borderId="5" xfId="0" applyNumberFormat="1" applyFont="1" applyFill="1" applyBorder="1" applyAlignment="1">
      <alignment horizontal="right" wrapText="1"/>
    </xf>
    <xf numFmtId="14" fontId="11" fillId="6" borderId="5" xfId="0" applyNumberFormat="1" applyFont="1" applyFill="1" applyBorder="1" applyAlignment="1">
      <alignment horizontal="right" vertical="center" wrapText="1"/>
    </xf>
    <xf numFmtId="0" fontId="26" fillId="0" borderId="5" xfId="0" applyFont="1" applyBorder="1" applyAlignment="1">
      <alignment horizontal="right" vertical="center" wrapText="1"/>
    </xf>
    <xf numFmtId="14" fontId="27" fillId="0" borderId="5" xfId="0" applyNumberFormat="1" applyFont="1" applyBorder="1" applyAlignment="1">
      <alignment horizontal="right" vertical="center" wrapText="1"/>
    </xf>
    <xf numFmtId="165" fontId="4" fillId="0" borderId="0" xfId="0" applyNumberFormat="1" applyFont="1"/>
    <xf numFmtId="0" fontId="29" fillId="12" borderId="4" xfId="0" applyFont="1" applyFill="1" applyBorder="1" applyAlignment="1">
      <alignment horizontal="center"/>
    </xf>
    <xf numFmtId="0" fontId="29" fillId="12" borderId="12" xfId="0" applyFont="1" applyFill="1" applyBorder="1" applyAlignment="1">
      <alignment horizontal="center"/>
    </xf>
    <xf numFmtId="0" fontId="16" fillId="0" borderId="4" xfId="0" applyFont="1" applyBorder="1"/>
    <xf numFmtId="0" fontId="16" fillId="0" borderId="4" xfId="0" applyFont="1" applyBorder="1" applyAlignment="1">
      <alignment horizontal="center"/>
    </xf>
    <xf numFmtId="14" fontId="8" fillId="0" borderId="0" xfId="0" applyNumberFormat="1" applyFont="1"/>
    <xf numFmtId="14" fontId="21" fillId="0" borderId="0" xfId="0" applyNumberFormat="1" applyFont="1"/>
    <xf numFmtId="0" fontId="16" fillId="0" borderId="3" xfId="0" applyFont="1" applyBorder="1" applyAlignment="1">
      <alignment horizontal="center"/>
    </xf>
    <xf numFmtId="0" fontId="11" fillId="0" borderId="0" xfId="0" applyFont="1" applyAlignment="1">
      <alignment horizontal="center"/>
    </xf>
    <xf numFmtId="0" fontId="16" fillId="0" borderId="0" xfId="0" applyFont="1"/>
    <xf numFmtId="0" fontId="16" fillId="0" borderId="0" xfId="0" applyFont="1" applyAlignment="1">
      <alignment horizontal="center"/>
    </xf>
    <xf numFmtId="0" fontId="16" fillId="0" borderId="13" xfId="0" applyFont="1" applyBorder="1"/>
    <xf numFmtId="0" fontId="8" fillId="0" borderId="1" xfId="0" applyFont="1" applyBorder="1" applyAlignment="1">
      <alignment horizontal="center"/>
    </xf>
    <xf numFmtId="0" fontId="16" fillId="0" borderId="1" xfId="0" applyFont="1" applyBorder="1" applyAlignment="1">
      <alignment horizontal="center"/>
    </xf>
    <xf numFmtId="0" fontId="11" fillId="0" borderId="1" xfId="0" applyFont="1" applyBorder="1" applyAlignment="1">
      <alignment horizontal="center"/>
    </xf>
    <xf numFmtId="0" fontId="16" fillId="0" borderId="1" xfId="0" applyFont="1" applyBorder="1"/>
    <xf numFmtId="0" fontId="8" fillId="0" borderId="0" xfId="0" applyFont="1" applyAlignment="1">
      <alignment horizontal="center"/>
    </xf>
    <xf numFmtId="0" fontId="16" fillId="0" borderId="7" xfId="0" applyFont="1" applyBorder="1" applyAlignment="1">
      <alignment horizontal="center"/>
    </xf>
    <xf numFmtId="0" fontId="19" fillId="10" borderId="8" xfId="0" applyFont="1" applyFill="1" applyBorder="1"/>
    <xf numFmtId="0" fontId="20" fillId="0" borderId="9" xfId="0" applyFont="1" applyBorder="1"/>
    <xf numFmtId="0" fontId="20" fillId="0" borderId="10" xfId="0" applyFont="1" applyBorder="1"/>
    <xf numFmtId="0" fontId="24" fillId="5" borderId="0" xfId="0" applyFont="1" applyFill="1"/>
    <xf numFmtId="0" fontId="0" fillId="0" borderId="0" xfId="0"/>
    <xf numFmtId="0" fontId="28" fillId="5"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022%20(Enero-Jul)"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22 (Enero-Jul)"/>
    </sheetNames>
    <sheetDataSet>
      <sheetData sheetId="0"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hyperlink" Target="https://www.elempleo.com/co/noticias/noticias-laborales/que-dias-festivos-disfrutaran-los-colombianos-en-2022-659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outlinePr summaryBelow="0" summaryRight="0"/>
  </sheetPr>
  <dimension ref="A1:AI982"/>
  <sheetViews>
    <sheetView tabSelected="1" workbookViewId="0">
      <pane xSplit="4" ySplit="1" topLeftCell="E2" activePane="bottomRight" state="frozen"/>
      <selection pane="topRight" activeCell="E1" sqref="E1"/>
      <selection pane="bottomLeft" activeCell="A2" sqref="A2"/>
      <selection pane="bottomRight" activeCell="E2" sqref="E2"/>
    </sheetView>
  </sheetViews>
  <sheetFormatPr baseColWidth="10" defaultColWidth="14.42578125" defaultRowHeight="15" customHeight="1" x14ac:dyDescent="0.2"/>
  <cols>
    <col min="1" max="1" width="10" customWidth="1"/>
    <col min="2" max="2" width="15.140625" customWidth="1"/>
    <col min="3" max="3" width="12.85546875" customWidth="1"/>
    <col min="4" max="4" width="12.7109375" customWidth="1"/>
    <col min="5" max="5" width="6.42578125" customWidth="1"/>
    <col min="6" max="6" width="16.85546875" customWidth="1"/>
    <col min="7" max="7" width="12" customWidth="1"/>
    <col min="8" max="8" width="13.42578125" customWidth="1"/>
    <col min="9" max="9" width="12.85546875" customWidth="1"/>
    <col min="10" max="10" width="9.85546875" customWidth="1"/>
    <col min="11" max="11" width="35.28515625" customWidth="1"/>
    <col min="12" max="12" width="12.5703125" customWidth="1"/>
    <col min="13" max="13" width="11" customWidth="1"/>
    <col min="14" max="14" width="9.5703125" customWidth="1"/>
    <col min="15" max="15" width="8.85546875" customWidth="1"/>
    <col min="16" max="16" width="16.28515625" customWidth="1"/>
    <col min="23" max="23" width="14.42578125" customWidth="1"/>
    <col min="24" max="24" width="60.7109375" customWidth="1"/>
  </cols>
  <sheetData>
    <row r="1" spans="1:35" ht="42.75" customHeight="1" x14ac:dyDescent="0.25">
      <c r="A1" s="1" t="s">
        <v>0</v>
      </c>
      <c r="B1" s="1" t="s">
        <v>1</v>
      </c>
      <c r="C1" s="1" t="s">
        <v>2</v>
      </c>
      <c r="D1" s="1" t="s">
        <v>3</v>
      </c>
      <c r="E1" s="1" t="s">
        <v>4</v>
      </c>
      <c r="F1" s="1" t="s">
        <v>5</v>
      </c>
      <c r="G1" s="1" t="s">
        <v>6</v>
      </c>
      <c r="H1" s="2" t="s">
        <v>7</v>
      </c>
      <c r="I1" s="3" t="s">
        <v>8</v>
      </c>
      <c r="J1" s="4" t="s">
        <v>9</v>
      </c>
      <c r="K1" s="4" t="s">
        <v>10</v>
      </c>
      <c r="L1" s="4" t="s">
        <v>11</v>
      </c>
      <c r="M1" s="1" t="s">
        <v>12</v>
      </c>
      <c r="N1" s="5" t="s">
        <v>13</v>
      </c>
      <c r="O1" s="5" t="s">
        <v>14</v>
      </c>
      <c r="P1" s="5" t="s">
        <v>15</v>
      </c>
      <c r="Q1" s="2" t="s">
        <v>16</v>
      </c>
      <c r="R1" s="2" t="s">
        <v>17</v>
      </c>
      <c r="S1" s="5" t="s">
        <v>18</v>
      </c>
      <c r="T1" s="5" t="s">
        <v>19</v>
      </c>
      <c r="U1" s="6" t="s">
        <v>20</v>
      </c>
      <c r="V1" s="5" t="s">
        <v>21</v>
      </c>
      <c r="W1" s="5" t="s">
        <v>22</v>
      </c>
      <c r="X1" s="5" t="s">
        <v>23</v>
      </c>
      <c r="Y1" s="7" t="s">
        <v>24</v>
      </c>
      <c r="Z1" s="7" t="s">
        <v>25</v>
      </c>
      <c r="AA1" s="7" t="s">
        <v>26</v>
      </c>
      <c r="AB1" s="7" t="s">
        <v>27</v>
      </c>
      <c r="AC1" s="7" t="s">
        <v>28</v>
      </c>
      <c r="AD1" s="8" t="s">
        <v>29</v>
      </c>
      <c r="AE1" s="4" t="s">
        <v>30</v>
      </c>
      <c r="AF1" s="4" t="s">
        <v>31</v>
      </c>
      <c r="AG1" s="4" t="s">
        <v>32</v>
      </c>
      <c r="AH1" s="4" t="s">
        <v>33</v>
      </c>
      <c r="AI1" s="1" t="s">
        <v>34</v>
      </c>
    </row>
    <row r="2" spans="1:35" ht="15.75" customHeight="1" x14ac:dyDescent="0.25">
      <c r="A2" s="9">
        <v>182591</v>
      </c>
      <c r="B2" s="9" t="s">
        <v>35</v>
      </c>
      <c r="C2" s="9" t="s">
        <v>36</v>
      </c>
      <c r="D2" s="9" t="s">
        <v>37</v>
      </c>
      <c r="E2" s="9">
        <v>611</v>
      </c>
      <c r="F2" s="9" t="s">
        <v>38</v>
      </c>
      <c r="G2" s="10">
        <v>45160</v>
      </c>
      <c r="H2" s="10">
        <v>45160</v>
      </c>
      <c r="I2" s="10">
        <v>45155</v>
      </c>
      <c r="J2" s="9">
        <v>6910094</v>
      </c>
      <c r="K2" s="9" t="s">
        <v>39</v>
      </c>
      <c r="L2" s="9">
        <v>17293152</v>
      </c>
      <c r="M2" s="9" t="s">
        <v>40</v>
      </c>
      <c r="N2" s="9" t="s">
        <v>41</v>
      </c>
      <c r="O2" s="9" t="s">
        <v>42</v>
      </c>
      <c r="P2" s="9"/>
      <c r="Q2" s="10">
        <v>44680</v>
      </c>
      <c r="R2" s="10">
        <v>45422</v>
      </c>
      <c r="S2" s="9">
        <v>3200000</v>
      </c>
      <c r="T2" s="9" t="s">
        <v>43</v>
      </c>
      <c r="U2" s="9">
        <v>3004947047</v>
      </c>
      <c r="V2" s="9" t="s">
        <v>44</v>
      </c>
      <c r="W2" s="9"/>
      <c r="X2" s="9" t="s">
        <v>45</v>
      </c>
      <c r="Y2" s="9"/>
      <c r="Z2" s="9"/>
      <c r="AA2" s="9"/>
      <c r="AB2" s="9"/>
      <c r="AC2" s="9"/>
      <c r="AD2" s="9"/>
      <c r="AE2" s="9">
        <v>5</v>
      </c>
      <c r="AF2" s="9">
        <v>0</v>
      </c>
      <c r="AG2" s="9">
        <v>5</v>
      </c>
      <c r="AH2" s="9"/>
      <c r="AI2" s="9" t="s">
        <v>46</v>
      </c>
    </row>
    <row r="3" spans="1:35" ht="15.75" customHeight="1" x14ac:dyDescent="0.25">
      <c r="A3" s="9">
        <v>181827</v>
      </c>
      <c r="B3" s="9" t="s">
        <v>35</v>
      </c>
      <c r="C3" s="9" t="s">
        <v>47</v>
      </c>
      <c r="D3" s="9" t="s">
        <v>37</v>
      </c>
      <c r="E3" s="9">
        <v>370</v>
      </c>
      <c r="F3" s="9" t="s">
        <v>48</v>
      </c>
      <c r="G3" s="10">
        <v>45156</v>
      </c>
      <c r="H3" s="10">
        <v>45160</v>
      </c>
      <c r="I3" s="10">
        <v>44928</v>
      </c>
      <c r="J3" s="9">
        <v>7159268</v>
      </c>
      <c r="K3" s="9" t="s">
        <v>49</v>
      </c>
      <c r="L3" s="9">
        <v>10525221</v>
      </c>
      <c r="M3" s="9" t="s">
        <v>40</v>
      </c>
      <c r="N3" s="9" t="s">
        <v>41</v>
      </c>
      <c r="O3" s="9" t="s">
        <v>50</v>
      </c>
      <c r="P3" s="9"/>
      <c r="Q3" s="11">
        <v>44847</v>
      </c>
      <c r="R3" s="11">
        <v>45577</v>
      </c>
      <c r="S3" s="9">
        <v>3100000</v>
      </c>
      <c r="T3" s="9"/>
      <c r="U3" s="9">
        <v>3128036095</v>
      </c>
      <c r="V3" s="9" t="s">
        <v>44</v>
      </c>
      <c r="W3" s="9" t="s">
        <v>51</v>
      </c>
      <c r="X3" s="9" t="s">
        <v>52</v>
      </c>
      <c r="Y3" s="9"/>
      <c r="Z3" s="9"/>
      <c r="AA3" s="9"/>
      <c r="AB3" s="9"/>
      <c r="AC3" s="9"/>
      <c r="AD3" s="9"/>
      <c r="AE3" s="9">
        <v>5</v>
      </c>
      <c r="AF3" s="9">
        <v>0</v>
      </c>
      <c r="AG3" s="9">
        <v>5</v>
      </c>
      <c r="AH3" s="9"/>
      <c r="AI3" s="9" t="s">
        <v>53</v>
      </c>
    </row>
    <row r="4" spans="1:35" ht="15.75" customHeight="1" x14ac:dyDescent="0.25">
      <c r="A4" s="9">
        <v>181838</v>
      </c>
      <c r="B4" s="9" t="s">
        <v>35</v>
      </c>
      <c r="C4" s="9" t="s">
        <v>47</v>
      </c>
      <c r="D4" s="9" t="s">
        <v>37</v>
      </c>
      <c r="E4" s="9">
        <v>650</v>
      </c>
      <c r="F4" s="9" t="s">
        <v>54</v>
      </c>
      <c r="G4" s="10">
        <v>45156</v>
      </c>
      <c r="H4" s="10">
        <v>45160</v>
      </c>
      <c r="I4" s="10">
        <v>45148</v>
      </c>
      <c r="J4" s="9">
        <v>7486310</v>
      </c>
      <c r="K4" s="9" t="s">
        <v>55</v>
      </c>
      <c r="L4" s="9">
        <v>5206009</v>
      </c>
      <c r="M4" s="9" t="s">
        <v>40</v>
      </c>
      <c r="N4" s="9" t="s">
        <v>41</v>
      </c>
      <c r="O4" s="9" t="s">
        <v>42</v>
      </c>
      <c r="P4" s="9"/>
      <c r="Q4" s="10">
        <v>45076</v>
      </c>
      <c r="R4" s="10">
        <v>45795</v>
      </c>
      <c r="S4" s="9">
        <v>7600000</v>
      </c>
      <c r="T4" s="9" t="s">
        <v>56</v>
      </c>
      <c r="U4" s="9">
        <v>3135691514</v>
      </c>
      <c r="V4" s="9" t="s">
        <v>44</v>
      </c>
      <c r="W4" s="9"/>
      <c r="X4" s="9" t="s">
        <v>57</v>
      </c>
      <c r="Y4" s="9"/>
      <c r="Z4" s="9"/>
      <c r="AA4" s="9"/>
      <c r="AB4" s="9"/>
      <c r="AC4" s="9"/>
      <c r="AD4" s="9"/>
      <c r="AE4" s="9">
        <v>5</v>
      </c>
      <c r="AF4" s="9">
        <v>0</v>
      </c>
      <c r="AG4" s="9">
        <v>5</v>
      </c>
      <c r="AH4" s="9"/>
      <c r="AI4" s="9" t="s">
        <v>58</v>
      </c>
    </row>
    <row r="5" spans="1:35" ht="15.75" customHeight="1" x14ac:dyDescent="0.25">
      <c r="A5" s="9">
        <v>181889</v>
      </c>
      <c r="B5" s="9" t="s">
        <v>35</v>
      </c>
      <c r="C5" s="9" t="s">
        <v>36</v>
      </c>
      <c r="D5" s="9" t="s">
        <v>37</v>
      </c>
      <c r="E5" s="9">
        <v>790</v>
      </c>
      <c r="F5" s="9" t="s">
        <v>59</v>
      </c>
      <c r="G5" s="10">
        <v>45156</v>
      </c>
      <c r="H5" s="10">
        <v>45160</v>
      </c>
      <c r="I5" s="10">
        <v>45058</v>
      </c>
      <c r="J5" s="9">
        <v>7182688</v>
      </c>
      <c r="K5" s="9" t="s">
        <v>60</v>
      </c>
      <c r="L5" s="9">
        <v>14238694</v>
      </c>
      <c r="M5" s="9" t="s">
        <v>61</v>
      </c>
      <c r="N5" s="9" t="s">
        <v>41</v>
      </c>
      <c r="O5" s="9" t="s">
        <v>50</v>
      </c>
      <c r="P5" s="9" t="s">
        <v>62</v>
      </c>
      <c r="Q5" s="11">
        <v>44863</v>
      </c>
      <c r="R5" s="10">
        <v>46154</v>
      </c>
      <c r="S5" s="9">
        <v>11500000</v>
      </c>
      <c r="T5" s="9"/>
      <c r="U5" s="9">
        <v>3012324631</v>
      </c>
      <c r="V5" s="9" t="s">
        <v>44</v>
      </c>
      <c r="W5" s="9" t="s">
        <v>63</v>
      </c>
      <c r="X5" s="9" t="s">
        <v>64</v>
      </c>
      <c r="Y5" s="9"/>
      <c r="Z5" s="9"/>
      <c r="AA5" s="9"/>
      <c r="AB5" s="9"/>
      <c r="AC5" s="9"/>
      <c r="AD5" s="9"/>
      <c r="AE5" s="9">
        <v>5</v>
      </c>
      <c r="AF5" s="9">
        <v>0</v>
      </c>
      <c r="AG5" s="9">
        <v>5</v>
      </c>
      <c r="AH5" s="9"/>
      <c r="AI5" s="9" t="s">
        <v>65</v>
      </c>
    </row>
    <row r="6" spans="1:35" ht="15.75" customHeight="1" x14ac:dyDescent="0.25">
      <c r="A6" s="9">
        <v>181889</v>
      </c>
      <c r="B6" s="9" t="s">
        <v>35</v>
      </c>
      <c r="C6" s="9" t="s">
        <v>36</v>
      </c>
      <c r="D6" s="9" t="s">
        <v>37</v>
      </c>
      <c r="E6" s="9">
        <v>790</v>
      </c>
      <c r="F6" s="9" t="s">
        <v>59</v>
      </c>
      <c r="G6" s="10">
        <v>45156</v>
      </c>
      <c r="H6" s="10">
        <v>45160</v>
      </c>
      <c r="I6" s="10">
        <v>45058</v>
      </c>
      <c r="J6" s="9">
        <v>7050276</v>
      </c>
      <c r="K6" s="9" t="s">
        <v>60</v>
      </c>
      <c r="L6" s="9">
        <v>14238694</v>
      </c>
      <c r="M6" s="9" t="s">
        <v>61</v>
      </c>
      <c r="N6" s="9" t="s">
        <v>41</v>
      </c>
      <c r="O6" s="9" t="s">
        <v>50</v>
      </c>
      <c r="P6" s="9" t="s">
        <v>62</v>
      </c>
      <c r="Q6" s="10">
        <v>44775</v>
      </c>
      <c r="R6" s="10">
        <v>45704</v>
      </c>
      <c r="S6" s="9">
        <v>6200000</v>
      </c>
      <c r="T6" s="9"/>
      <c r="U6" s="9">
        <v>3012324631</v>
      </c>
      <c r="V6" s="9" t="s">
        <v>44</v>
      </c>
      <c r="W6" s="9" t="s">
        <v>63</v>
      </c>
      <c r="X6" s="9" t="s">
        <v>66</v>
      </c>
      <c r="Y6" s="9"/>
      <c r="Z6" s="9"/>
      <c r="AA6" s="9"/>
      <c r="AB6" s="9"/>
      <c r="AC6" s="9"/>
      <c r="AD6" s="9"/>
      <c r="AE6" s="9">
        <v>5</v>
      </c>
      <c r="AF6" s="9">
        <v>0</v>
      </c>
      <c r="AG6" s="9">
        <v>5</v>
      </c>
      <c r="AH6" s="9"/>
      <c r="AI6" s="9" t="s">
        <v>67</v>
      </c>
    </row>
    <row r="7" spans="1:35" ht="15.75" customHeight="1" x14ac:dyDescent="0.25">
      <c r="A7" s="9">
        <v>181914</v>
      </c>
      <c r="B7" s="9" t="s">
        <v>35</v>
      </c>
      <c r="C7" s="9" t="s">
        <v>36</v>
      </c>
      <c r="D7" s="9" t="s">
        <v>37</v>
      </c>
      <c r="E7" s="9">
        <v>852</v>
      </c>
      <c r="F7" s="9" t="s">
        <v>68</v>
      </c>
      <c r="G7" s="10">
        <v>45156</v>
      </c>
      <c r="H7" s="10">
        <v>45160</v>
      </c>
      <c r="I7" s="10">
        <v>45133</v>
      </c>
      <c r="J7" s="9">
        <v>7430332</v>
      </c>
      <c r="K7" s="9" t="s">
        <v>69</v>
      </c>
      <c r="L7" s="9">
        <v>1113520196</v>
      </c>
      <c r="M7" s="9" t="s">
        <v>40</v>
      </c>
      <c r="N7" s="9" t="s">
        <v>41</v>
      </c>
      <c r="O7" s="9" t="s">
        <v>42</v>
      </c>
      <c r="P7" s="9"/>
      <c r="Q7" s="10">
        <v>45045</v>
      </c>
      <c r="R7" s="10">
        <v>45601</v>
      </c>
      <c r="S7" s="9">
        <v>2700000</v>
      </c>
      <c r="T7" s="9" t="s">
        <v>70</v>
      </c>
      <c r="U7" s="9">
        <v>3117407283</v>
      </c>
      <c r="V7" s="9" t="s">
        <v>44</v>
      </c>
      <c r="W7" s="9"/>
      <c r="X7" s="9" t="s">
        <v>71</v>
      </c>
      <c r="Y7" s="9"/>
      <c r="Z7" s="9"/>
      <c r="AA7" s="9"/>
      <c r="AB7" s="9"/>
      <c r="AC7" s="9"/>
      <c r="AD7" s="9"/>
      <c r="AE7" s="9">
        <v>3</v>
      </c>
      <c r="AF7" s="9">
        <v>0</v>
      </c>
      <c r="AG7" s="9">
        <v>3</v>
      </c>
      <c r="AH7" s="9"/>
      <c r="AI7" s="9" t="s">
        <v>72</v>
      </c>
    </row>
    <row r="8" spans="1:35" ht="15.75" customHeight="1" x14ac:dyDescent="0.25">
      <c r="A8" s="9">
        <v>181930</v>
      </c>
      <c r="B8" s="9" t="s">
        <v>35</v>
      </c>
      <c r="C8" s="9" t="s">
        <v>36</v>
      </c>
      <c r="D8" s="9" t="s">
        <v>37</v>
      </c>
      <c r="E8" s="9">
        <v>822</v>
      </c>
      <c r="F8" s="9" t="s">
        <v>73</v>
      </c>
      <c r="G8" s="10">
        <v>45156</v>
      </c>
      <c r="H8" s="10">
        <v>45160</v>
      </c>
      <c r="I8" s="10">
        <v>45131</v>
      </c>
      <c r="J8" s="9">
        <v>7175697</v>
      </c>
      <c r="K8" s="9" t="s">
        <v>74</v>
      </c>
      <c r="L8" s="9">
        <v>31218801</v>
      </c>
      <c r="M8" s="9" t="s">
        <v>40</v>
      </c>
      <c r="N8" s="9" t="s">
        <v>41</v>
      </c>
      <c r="O8" s="9" t="s">
        <v>42</v>
      </c>
      <c r="P8" s="9"/>
      <c r="Q8" s="11">
        <v>44860</v>
      </c>
      <c r="R8" s="11">
        <v>45606</v>
      </c>
      <c r="S8" s="9">
        <v>4300000</v>
      </c>
      <c r="T8" s="9" t="s">
        <v>75</v>
      </c>
      <c r="U8" s="9">
        <v>3116267728</v>
      </c>
      <c r="V8" s="9" t="s">
        <v>44</v>
      </c>
      <c r="W8" s="9"/>
      <c r="X8" s="9" t="s">
        <v>76</v>
      </c>
      <c r="Y8" s="9"/>
      <c r="Z8" s="9"/>
      <c r="AA8" s="9"/>
      <c r="AB8" s="9"/>
      <c r="AC8" s="9"/>
      <c r="AD8" s="9"/>
      <c r="AE8" s="9">
        <v>5</v>
      </c>
      <c r="AF8" s="9">
        <v>0</v>
      </c>
      <c r="AG8" s="9">
        <v>5</v>
      </c>
      <c r="AH8" s="9"/>
      <c r="AI8" s="9" t="s">
        <v>77</v>
      </c>
    </row>
    <row r="9" spans="1:35" ht="15.75" customHeight="1" x14ac:dyDescent="0.25">
      <c r="A9" s="9">
        <v>182517</v>
      </c>
      <c r="B9" s="9" t="s">
        <v>35</v>
      </c>
      <c r="C9" s="9" t="s">
        <v>36</v>
      </c>
      <c r="D9" s="9" t="s">
        <v>37</v>
      </c>
      <c r="E9" s="9">
        <v>482</v>
      </c>
      <c r="F9" s="9" t="s">
        <v>78</v>
      </c>
      <c r="G9" s="10">
        <v>45160</v>
      </c>
      <c r="H9" s="10">
        <v>45160</v>
      </c>
      <c r="I9" s="10">
        <v>45030</v>
      </c>
      <c r="J9" s="9">
        <v>6531548</v>
      </c>
      <c r="K9" s="9" t="s">
        <v>79</v>
      </c>
      <c r="L9" s="9">
        <v>26175041</v>
      </c>
      <c r="M9" s="9" t="s">
        <v>40</v>
      </c>
      <c r="N9" s="9" t="s">
        <v>41</v>
      </c>
      <c r="O9" s="9" t="s">
        <v>50</v>
      </c>
      <c r="P9" s="9"/>
      <c r="Q9" s="10">
        <v>44408</v>
      </c>
      <c r="R9" s="10">
        <v>45332</v>
      </c>
      <c r="S9" s="9">
        <v>6000000</v>
      </c>
      <c r="T9" s="9"/>
      <c r="U9" s="9">
        <v>3218654990</v>
      </c>
      <c r="V9" s="9" t="s">
        <v>44</v>
      </c>
      <c r="W9" s="9" t="s">
        <v>80</v>
      </c>
      <c r="X9" s="9" t="s">
        <v>81</v>
      </c>
      <c r="Y9" s="9"/>
      <c r="Z9" s="9"/>
      <c r="AA9" s="9"/>
      <c r="AB9" s="9"/>
      <c r="AC9" s="9"/>
      <c r="AD9" s="9"/>
      <c r="AE9" s="9">
        <v>5</v>
      </c>
      <c r="AF9" s="9">
        <v>0</v>
      </c>
      <c r="AG9" s="9">
        <v>5</v>
      </c>
      <c r="AH9" s="9"/>
      <c r="AI9" s="9" t="s">
        <v>82</v>
      </c>
    </row>
    <row r="10" spans="1:35" ht="15.75" customHeight="1" x14ac:dyDescent="0.25">
      <c r="A10" s="9">
        <v>182567</v>
      </c>
      <c r="B10" s="9" t="s">
        <v>35</v>
      </c>
      <c r="C10" s="9" t="s">
        <v>36</v>
      </c>
      <c r="D10" s="9" t="s">
        <v>37</v>
      </c>
      <c r="E10" s="9">
        <v>630</v>
      </c>
      <c r="F10" s="9" t="s">
        <v>83</v>
      </c>
      <c r="G10" s="10">
        <v>45160</v>
      </c>
      <c r="H10" s="10">
        <v>45160</v>
      </c>
      <c r="I10" s="10">
        <v>45150</v>
      </c>
      <c r="J10" s="9">
        <v>6417328</v>
      </c>
      <c r="K10" s="9" t="s">
        <v>84</v>
      </c>
      <c r="L10" s="9">
        <v>30048752</v>
      </c>
      <c r="M10" s="9" t="s">
        <v>40</v>
      </c>
      <c r="N10" s="9" t="s">
        <v>41</v>
      </c>
      <c r="O10" s="9" t="s">
        <v>42</v>
      </c>
      <c r="P10" s="9"/>
      <c r="Q10" s="10">
        <v>44313</v>
      </c>
      <c r="R10" s="10">
        <v>45417</v>
      </c>
      <c r="S10" s="9">
        <v>20900000</v>
      </c>
      <c r="T10" s="9"/>
      <c r="U10" s="9">
        <v>3219907843</v>
      </c>
      <c r="V10" s="9" t="s">
        <v>44</v>
      </c>
      <c r="W10" s="9"/>
      <c r="X10" s="9" t="s">
        <v>85</v>
      </c>
      <c r="Y10" s="9"/>
      <c r="Z10" s="9"/>
      <c r="AA10" s="9"/>
      <c r="AB10" s="9"/>
      <c r="AC10" s="9"/>
      <c r="AD10" s="9"/>
      <c r="AE10" s="9">
        <v>5</v>
      </c>
      <c r="AF10" s="9">
        <v>0</v>
      </c>
      <c r="AG10" s="9">
        <v>5</v>
      </c>
      <c r="AH10" s="9"/>
      <c r="AI10" s="9" t="s">
        <v>86</v>
      </c>
    </row>
    <row r="11" spans="1:35" ht="15.75" customHeight="1" x14ac:dyDescent="0.25">
      <c r="A11" s="9">
        <v>123456</v>
      </c>
      <c r="B11" s="9" t="s">
        <v>35</v>
      </c>
      <c r="C11" s="9" t="s">
        <v>44</v>
      </c>
      <c r="D11" s="9" t="s">
        <v>37</v>
      </c>
      <c r="E11" s="9">
        <v>823</v>
      </c>
      <c r="F11" s="9" t="s">
        <v>87</v>
      </c>
      <c r="G11" s="10">
        <v>45160</v>
      </c>
      <c r="H11" s="10">
        <v>45160</v>
      </c>
      <c r="I11" s="10">
        <v>45147</v>
      </c>
      <c r="J11" s="9">
        <v>7256994</v>
      </c>
      <c r="K11" s="9" t="s">
        <v>88</v>
      </c>
      <c r="L11" s="9">
        <v>16793039</v>
      </c>
      <c r="M11" s="9" t="s">
        <v>40</v>
      </c>
      <c r="N11" s="9" t="s">
        <v>41</v>
      </c>
      <c r="O11" s="9" t="s">
        <v>42</v>
      </c>
      <c r="P11" s="9"/>
      <c r="Q11" s="11">
        <v>44914</v>
      </c>
      <c r="R11" s="10">
        <v>45458</v>
      </c>
      <c r="S11" s="9">
        <v>60000000</v>
      </c>
      <c r="T11" s="9" t="s">
        <v>89</v>
      </c>
      <c r="U11" s="9">
        <v>3103679761</v>
      </c>
      <c r="V11" s="9" t="s">
        <v>44</v>
      </c>
      <c r="W11" s="9"/>
      <c r="X11" s="9" t="s">
        <v>90</v>
      </c>
      <c r="Y11" s="9"/>
      <c r="Z11" s="9"/>
      <c r="AA11" s="9"/>
      <c r="AB11" s="9"/>
      <c r="AC11" s="9"/>
      <c r="AD11" s="9"/>
      <c r="AE11" s="9">
        <v>5</v>
      </c>
      <c r="AF11" s="9">
        <v>0</v>
      </c>
      <c r="AG11" s="9">
        <v>5</v>
      </c>
      <c r="AH11" s="9"/>
      <c r="AI11" s="9" t="s">
        <v>91</v>
      </c>
    </row>
    <row r="12" spans="1:35" ht="15.75" customHeight="1" x14ac:dyDescent="0.25">
      <c r="A12" s="9">
        <v>123456</v>
      </c>
      <c r="B12" s="9" t="s">
        <v>35</v>
      </c>
      <c r="C12" s="9" t="s">
        <v>44</v>
      </c>
      <c r="D12" s="9" t="s">
        <v>37</v>
      </c>
      <c r="E12" s="9">
        <v>823</v>
      </c>
      <c r="F12" s="9" t="s">
        <v>87</v>
      </c>
      <c r="G12" s="10">
        <v>45160</v>
      </c>
      <c r="H12" s="10">
        <v>45160</v>
      </c>
      <c r="I12" s="10">
        <v>45147</v>
      </c>
      <c r="J12" s="9">
        <v>6949055</v>
      </c>
      <c r="K12" s="9" t="s">
        <v>88</v>
      </c>
      <c r="L12" s="9">
        <v>16793039</v>
      </c>
      <c r="M12" s="9" t="s">
        <v>40</v>
      </c>
      <c r="N12" s="9" t="s">
        <v>41</v>
      </c>
      <c r="O12" s="9" t="s">
        <v>42</v>
      </c>
      <c r="P12" s="9"/>
      <c r="Q12" s="10">
        <v>44705</v>
      </c>
      <c r="R12" s="10">
        <v>45452</v>
      </c>
      <c r="S12" s="9">
        <v>100000000</v>
      </c>
      <c r="T12" s="9" t="s">
        <v>89</v>
      </c>
      <c r="U12" s="9">
        <v>3103679761</v>
      </c>
      <c r="V12" s="9" t="s">
        <v>44</v>
      </c>
      <c r="W12" s="9"/>
      <c r="X12" s="9" t="s">
        <v>92</v>
      </c>
      <c r="Y12" s="9"/>
      <c r="Z12" s="9"/>
      <c r="AA12" s="9"/>
      <c r="AB12" s="9"/>
      <c r="AC12" s="9"/>
      <c r="AD12" s="9"/>
      <c r="AE12" s="9">
        <v>5</v>
      </c>
      <c r="AF12" s="9">
        <v>0</v>
      </c>
      <c r="AG12" s="9">
        <v>5</v>
      </c>
      <c r="AH12" s="9"/>
      <c r="AI12" s="9" t="s">
        <v>93</v>
      </c>
    </row>
    <row r="13" spans="1:35" ht="15.75" customHeight="1" x14ac:dyDescent="0.25">
      <c r="A13" s="9">
        <v>182588</v>
      </c>
      <c r="B13" s="9" t="s">
        <v>35</v>
      </c>
      <c r="C13" s="9" t="s">
        <v>47</v>
      </c>
      <c r="D13" s="9" t="s">
        <v>37</v>
      </c>
      <c r="E13" s="9">
        <v>461</v>
      </c>
      <c r="F13" s="9" t="s">
        <v>94</v>
      </c>
      <c r="G13" s="10">
        <v>45160</v>
      </c>
      <c r="H13" s="10">
        <v>45160</v>
      </c>
      <c r="I13" s="10">
        <v>45136</v>
      </c>
      <c r="J13" s="9">
        <v>6902722</v>
      </c>
      <c r="K13" s="9" t="s">
        <v>95</v>
      </c>
      <c r="L13" s="9">
        <v>6794597</v>
      </c>
      <c r="M13" s="9" t="s">
        <v>40</v>
      </c>
      <c r="N13" s="9" t="s">
        <v>41</v>
      </c>
      <c r="O13" s="9" t="s">
        <v>42</v>
      </c>
      <c r="P13" s="9"/>
      <c r="Q13" s="10">
        <v>44674</v>
      </c>
      <c r="R13" s="10">
        <v>45238</v>
      </c>
      <c r="S13" s="9">
        <v>2200000</v>
      </c>
      <c r="T13" s="9" t="s">
        <v>96</v>
      </c>
      <c r="U13" s="9">
        <v>3002654235</v>
      </c>
      <c r="V13" s="9" t="s">
        <v>44</v>
      </c>
      <c r="W13" s="9"/>
      <c r="X13" s="9" t="s">
        <v>97</v>
      </c>
      <c r="Y13" s="9"/>
      <c r="Z13" s="9"/>
      <c r="AA13" s="9"/>
      <c r="AB13" s="9"/>
      <c r="AC13" s="9"/>
      <c r="AD13" s="9"/>
      <c r="AE13" s="9">
        <v>3</v>
      </c>
      <c r="AF13" s="9">
        <v>0</v>
      </c>
      <c r="AG13" s="9">
        <v>3</v>
      </c>
      <c r="AH13" s="9"/>
      <c r="AI13" s="9" t="s">
        <v>98</v>
      </c>
    </row>
    <row r="14" spans="1:35" ht="15.75" customHeight="1" x14ac:dyDescent="0.25">
      <c r="A14" s="9">
        <v>182609</v>
      </c>
      <c r="B14" s="9" t="s">
        <v>35</v>
      </c>
      <c r="C14" s="9" t="s">
        <v>47</v>
      </c>
      <c r="D14" s="9" t="s">
        <v>37</v>
      </c>
      <c r="E14" s="9">
        <v>811</v>
      </c>
      <c r="F14" s="9" t="s">
        <v>99</v>
      </c>
      <c r="G14" s="10">
        <v>45160</v>
      </c>
      <c r="H14" s="10">
        <v>45160</v>
      </c>
      <c r="I14" s="10">
        <v>45152</v>
      </c>
      <c r="J14" s="9">
        <v>7409192</v>
      </c>
      <c r="K14" s="9" t="s">
        <v>100</v>
      </c>
      <c r="L14" s="9">
        <v>1109266182</v>
      </c>
      <c r="M14" s="9" t="s">
        <v>40</v>
      </c>
      <c r="N14" s="9" t="s">
        <v>41</v>
      </c>
      <c r="O14" s="9" t="s">
        <v>42</v>
      </c>
      <c r="P14" s="9"/>
      <c r="Q14" s="10">
        <v>45024</v>
      </c>
      <c r="R14" s="10">
        <v>45878</v>
      </c>
      <c r="S14" s="9">
        <v>7000000</v>
      </c>
      <c r="T14" s="9" t="s">
        <v>70</v>
      </c>
      <c r="U14" s="9">
        <v>3134603159</v>
      </c>
      <c r="V14" s="9" t="s">
        <v>44</v>
      </c>
      <c r="W14" s="9"/>
      <c r="X14" s="9" t="s">
        <v>101</v>
      </c>
      <c r="Y14" s="9"/>
      <c r="Z14" s="9"/>
      <c r="AA14" s="9"/>
      <c r="AB14" s="9"/>
      <c r="AC14" s="9"/>
      <c r="AD14" s="9"/>
      <c r="AE14" s="9">
        <v>5</v>
      </c>
      <c r="AF14" s="9">
        <v>0</v>
      </c>
      <c r="AG14" s="9">
        <v>5</v>
      </c>
      <c r="AH14" s="9"/>
      <c r="AI14" s="9" t="s">
        <v>102</v>
      </c>
    </row>
    <row r="15" spans="1:35" ht="15.75" customHeight="1" x14ac:dyDescent="0.25">
      <c r="A15" s="9">
        <v>182717</v>
      </c>
      <c r="B15" s="9" t="s">
        <v>35</v>
      </c>
      <c r="C15" s="9" t="s">
        <v>36</v>
      </c>
      <c r="D15" s="9" t="s">
        <v>37</v>
      </c>
      <c r="E15" s="9">
        <v>510</v>
      </c>
      <c r="F15" s="9" t="s">
        <v>103</v>
      </c>
      <c r="G15" s="10">
        <v>45160</v>
      </c>
      <c r="H15" s="10">
        <v>45160</v>
      </c>
      <c r="I15" s="10">
        <v>45133</v>
      </c>
      <c r="J15" s="9">
        <v>7219653</v>
      </c>
      <c r="K15" s="9" t="s">
        <v>104</v>
      </c>
      <c r="L15" s="9">
        <v>26449708</v>
      </c>
      <c r="M15" s="9" t="s">
        <v>40</v>
      </c>
      <c r="N15" s="9" t="s">
        <v>41</v>
      </c>
      <c r="O15" s="9" t="s">
        <v>42</v>
      </c>
      <c r="P15" s="9"/>
      <c r="Q15" s="11">
        <v>44890</v>
      </c>
      <c r="R15" s="11">
        <v>45240</v>
      </c>
      <c r="S15" s="9">
        <v>1600000</v>
      </c>
      <c r="T15" s="9" t="s">
        <v>105</v>
      </c>
      <c r="U15" s="9">
        <v>3045927317</v>
      </c>
      <c r="V15" s="9" t="s">
        <v>44</v>
      </c>
      <c r="W15" s="9"/>
      <c r="X15" s="9" t="s">
        <v>106</v>
      </c>
      <c r="Y15" s="9"/>
      <c r="Z15" s="9"/>
      <c r="AA15" s="9"/>
      <c r="AB15" s="9"/>
      <c r="AC15" s="9"/>
      <c r="AD15" s="9"/>
      <c r="AE15" s="9">
        <v>3</v>
      </c>
      <c r="AF15" s="9">
        <v>0</v>
      </c>
      <c r="AG15" s="9">
        <v>3</v>
      </c>
      <c r="AH15" s="9"/>
      <c r="AI15" s="9" t="s">
        <v>107</v>
      </c>
    </row>
    <row r="16" spans="1:35" ht="15.75" customHeight="1" x14ac:dyDescent="0.2"/>
    <row r="17" ht="15.75" customHeight="1" x14ac:dyDescent="0.2"/>
    <row r="18" ht="15.75" customHeight="1" x14ac:dyDescent="0.2"/>
    <row r="19" ht="15.75" customHeight="1" x14ac:dyDescent="0.2"/>
    <row r="20" ht="15.75" customHeight="1" x14ac:dyDescent="0.2"/>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sheetData>
  <customSheetViews>
    <customSheetView guid="{AACCBE9A-2F57-45B5-A638-6613F28CF707}" filter="1" showAutoFilter="1">
      <pageMargins left="0.7" right="0.7" top="0.75" bottom="0.75" header="0.3" footer="0.3"/>
      <autoFilter ref="A1:AI15" xr:uid="{41DEA967-972B-4BAC-B08F-7E1550CE81F7}"/>
    </customSheetView>
    <customSheetView guid="{E1AB3906-546F-4A99-A6E8-D2D370C28EF6}" filter="1" showAutoFilter="1">
      <pageMargins left="0.7" right="0.7" top="0.75" bottom="0.75" header="0.3" footer="0.3"/>
      <autoFilter ref="A1:AI15" xr:uid="{8CB1BB73-8788-4078-ABD3-118FC5E96D57}">
        <filterColumn colId="1">
          <filters>
            <filter val="Axa Colpatria Seguros"/>
          </filters>
        </filterColumn>
        <filterColumn colId="3">
          <filters>
            <filter val="Recibida"/>
          </filters>
        </filterColumn>
        <filterColumn colId="4">
          <filters>
            <filter val="370"/>
            <filter val="461"/>
            <filter val="482"/>
            <filter val="510"/>
            <filter val="611"/>
            <filter val="630"/>
            <filter val="790"/>
            <filter val="811"/>
            <filter val="822"/>
            <filter val="823"/>
            <filter val="852"/>
          </filters>
        </filterColumn>
        <filterColumn colId="6">
          <filters>
            <filter val="22/08/2023"/>
            <filter val="18/08/2023"/>
          </filters>
        </filterColumn>
        <filterColumn colId="19">
          <filters>
            <filter val="CARLOS HERNAN ISAZIGA DAVID"/>
            <filter val="CHAVEZ BELTRAN ANA LUZ"/>
            <filter val="LINA DEL PILAR GALINDO TOVAR"/>
            <filter val="NA"/>
            <filter val="SANGUINO QUINTERO EDER ALFONSO, JOSE LUIS SANGUINO QUINTERO"/>
            <filter val="YENI ELENA MUESES PISCAL"/>
            <filter val="YULIETH LONDO?O VINASCO"/>
          </filters>
        </filterColumn>
      </autoFilter>
    </customSheetView>
    <customSheetView guid="{6E90557B-F53E-49C3-92A7-781D5A7D125A}" filter="1" showAutoFilter="1">
      <pageMargins left="0.7" right="0.7" top="0.75" bottom="0.75" header="0.3" footer="0.3"/>
      <autoFilter ref="A1:AI15" xr:uid="{0E1F422A-EF81-4CFE-856C-0D278FB34F5C}">
        <filterColumn colId="1">
          <filters>
            <filter val="Axa Colpatria Seguros"/>
          </filters>
        </filterColumn>
        <filterColumn colId="3">
          <filters>
            <filter val="Recibida"/>
          </filters>
        </filterColumn>
        <filterColumn colId="9">
          <filters>
            <filter val="6417328"/>
            <filter val="6531548"/>
            <filter val="6902722"/>
            <filter val="6910094"/>
            <filter val="6949055"/>
            <filter val="7050276"/>
            <filter val="7159268"/>
            <filter val="7175697"/>
            <filter val="7182688"/>
            <filter val="7219653"/>
            <filter val="7256994"/>
            <filter val="7409192"/>
            <filter val="7430332"/>
            <filter val="7486310"/>
          </filters>
        </filterColumn>
      </autoFilter>
    </customSheetView>
    <customSheetView guid="{331D9F73-79E4-48FC-8908-54C777E537D4}" filter="1" showAutoFilter="1">
      <pageMargins left="0.7" right="0.7" top="0.75" bottom="0.75" header="0.3" footer="0.3"/>
      <autoFilter ref="A1:AI15" xr:uid="{E060B835-E635-4396-9B11-1BBE9F0E5DCD}"/>
    </customSheetView>
  </customSheetViews>
  <pageMargins left="0.7" right="0.7" top="0.75" bottom="0.75" header="0" footer="0"/>
  <pageSetup orientation="portrait"/>
  <extLst>
    <ext xmlns:x14="http://schemas.microsoft.com/office/spreadsheetml/2009/9/main" uri="{CCE6A557-97BC-4b89-ADB6-D9C93CAAB3DF}">
      <x14:dataValidations xmlns:xm="http://schemas.microsoft.com/office/excel/2006/main" count="8">
        <x14:dataValidation type="list" allowBlank="1" showErrorMessage="1" xr:uid="{00000000-0002-0000-0000-000000000000}">
          <x14:formula1>
            <xm:f>PARAMETROS!$N$2:$N$20</xm:f>
          </x14:formula1>
          <xm:sqref>B2:B15</xm:sqref>
        </x14:dataValidation>
        <x14:dataValidation type="list" allowBlank="1" xr:uid="{00000000-0002-0000-0000-000001000000}">
          <x14:formula1>
            <xm:f>PARAMETROS!$E$567:$E$777</xm:f>
          </x14:formula1>
          <xm:sqref>F2:F15</xm:sqref>
        </x14:dataValidation>
        <x14:dataValidation type="list" allowBlank="1" showErrorMessage="1" xr:uid="{00000000-0002-0000-0000-000002000000}">
          <x14:formula1>
            <xm:f>PARAMETROS!$E$2:$E$10</xm:f>
          </x14:formula1>
          <xm:sqref>O2:O15</xm:sqref>
        </x14:dataValidation>
        <x14:dataValidation type="list" allowBlank="1" showErrorMessage="1" xr:uid="{00000000-0002-0000-0000-000003000000}">
          <x14:formula1>
            <xm:f>PARAMETROS!$D$2:$D$35</xm:f>
          </x14:formula1>
          <xm:sqref>M2:M15</xm:sqref>
        </x14:dataValidation>
        <x14:dataValidation type="list" allowBlank="1" showErrorMessage="1" xr:uid="{00000000-0002-0000-0000-000004000000}">
          <x14:formula1>
            <xm:f>PARAMETROS!$O$2:$O$3</xm:f>
          </x14:formula1>
          <xm:sqref>N2:N15</xm:sqref>
        </x14:dataValidation>
        <x14:dataValidation type="list" allowBlank="1" xr:uid="{00000000-0002-0000-0000-000005000000}">
          <x14:formula1>
            <xm:f>PARAMETROS!$H$2:$H$6</xm:f>
          </x14:formula1>
          <xm:sqref>D2:D15</xm:sqref>
        </x14:dataValidation>
        <x14:dataValidation type="list" allowBlank="1" showErrorMessage="1" xr:uid="{00000000-0002-0000-0000-000006000000}">
          <x14:formula1>
            <xm:f>PARAMETROS!$J$2:$J982</xm:f>
          </x14:formula1>
          <xm:sqref>C2:C15</xm:sqref>
        </x14:dataValidation>
        <x14:dataValidation type="list" allowBlank="1" xr:uid="{00000000-0002-0000-0000-000007000000}">
          <x14:formula1>
            <xm:f>PARAMETROS!$F$2:$F$20</xm:f>
          </x14:formula1>
          <xm:sqref>V2:V15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W1139"/>
  <sheetViews>
    <sheetView workbookViewId="0"/>
  </sheetViews>
  <sheetFormatPr baseColWidth="10" defaultColWidth="14.42578125" defaultRowHeight="15" customHeight="1" x14ac:dyDescent="0.2"/>
  <cols>
    <col min="1" max="1" width="11.5703125" customWidth="1"/>
    <col min="2" max="2" width="25.5703125" customWidth="1"/>
    <col min="3" max="3" width="9.7109375" customWidth="1"/>
    <col min="4" max="4" width="18.85546875" customWidth="1"/>
    <col min="5" max="5" width="16.85546875" customWidth="1"/>
    <col min="6" max="6" width="18.28515625" customWidth="1"/>
    <col min="7" max="7" width="22.7109375" customWidth="1"/>
    <col min="8" max="8" width="11.5703125" customWidth="1"/>
    <col min="9" max="9" width="32.28515625" customWidth="1"/>
    <col min="10" max="11" width="11.5703125" customWidth="1"/>
    <col min="12" max="12" width="10.7109375" customWidth="1"/>
    <col min="13" max="13" width="22.140625" customWidth="1"/>
    <col min="14" max="20" width="10.7109375" customWidth="1"/>
    <col min="21" max="21" width="24.42578125" customWidth="1"/>
    <col min="22" max="22" width="12" customWidth="1"/>
    <col min="23" max="23" width="10.7109375" customWidth="1"/>
  </cols>
  <sheetData>
    <row r="1" spans="1:127" ht="14.25" customHeight="1" x14ac:dyDescent="0.2">
      <c r="A1" s="12" t="s">
        <v>108</v>
      </c>
      <c r="B1" s="12" t="s">
        <v>5</v>
      </c>
      <c r="C1" s="12" t="s">
        <v>4</v>
      </c>
      <c r="D1" s="13" t="s">
        <v>109</v>
      </c>
      <c r="E1" s="13" t="s">
        <v>110</v>
      </c>
      <c r="F1" s="14" t="s">
        <v>21</v>
      </c>
      <c r="G1" s="14" t="s">
        <v>24</v>
      </c>
      <c r="H1" s="12" t="s">
        <v>3</v>
      </c>
      <c r="I1" s="12" t="s">
        <v>111</v>
      </c>
      <c r="J1" s="15" t="s">
        <v>2</v>
      </c>
      <c r="K1" s="15" t="s">
        <v>112</v>
      </c>
      <c r="L1" s="15" t="s">
        <v>113</v>
      </c>
      <c r="M1" s="12" t="s">
        <v>114</v>
      </c>
      <c r="N1" s="12" t="s">
        <v>115</v>
      </c>
      <c r="O1" s="16" t="s">
        <v>13</v>
      </c>
      <c r="P1" s="16" t="s">
        <v>116</v>
      </c>
      <c r="Q1" s="17" t="s">
        <v>117</v>
      </c>
      <c r="R1" s="17" t="s">
        <v>118</v>
      </c>
      <c r="S1" s="17"/>
      <c r="T1" s="17" t="s">
        <v>119</v>
      </c>
      <c r="U1" s="17" t="s">
        <v>120</v>
      </c>
      <c r="V1" s="17" t="s">
        <v>121</v>
      </c>
      <c r="W1" s="17" t="s">
        <v>122</v>
      </c>
      <c r="Y1" s="12" t="s">
        <v>3</v>
      </c>
      <c r="Z1" s="18" t="s">
        <v>123</v>
      </c>
      <c r="AA1" s="18" t="s">
        <v>123</v>
      </c>
      <c r="AB1" s="19" t="s">
        <v>124</v>
      </c>
      <c r="AC1" s="20" t="s">
        <v>125</v>
      </c>
      <c r="AD1" s="20" t="s">
        <v>126</v>
      </c>
      <c r="AE1" s="21" t="s">
        <v>127</v>
      </c>
      <c r="AG1" s="22" t="s">
        <v>128</v>
      </c>
    </row>
    <row r="2" spans="1:127" ht="14.25" customHeight="1" x14ac:dyDescent="0.25">
      <c r="A2" s="23">
        <v>43831</v>
      </c>
      <c r="B2" s="24" t="s">
        <v>129</v>
      </c>
      <c r="C2" s="25">
        <v>100</v>
      </c>
      <c r="D2" s="26" t="s">
        <v>40</v>
      </c>
      <c r="E2" s="27" t="s">
        <v>130</v>
      </c>
      <c r="F2" s="28" t="s">
        <v>131</v>
      </c>
      <c r="G2" s="27" t="s">
        <v>132</v>
      </c>
      <c r="H2" s="29" t="s">
        <v>37</v>
      </c>
      <c r="I2" s="30" t="s">
        <v>133</v>
      </c>
      <c r="J2" s="31" t="s">
        <v>36</v>
      </c>
      <c r="K2" s="31" t="s">
        <v>134</v>
      </c>
      <c r="L2" s="32">
        <v>5</v>
      </c>
      <c r="M2" s="19" t="s">
        <v>135</v>
      </c>
      <c r="N2" s="19" t="s">
        <v>136</v>
      </c>
      <c r="O2" s="33" t="s">
        <v>41</v>
      </c>
      <c r="P2" s="19" t="s">
        <v>137</v>
      </c>
      <c r="Q2" s="19" t="s">
        <v>138</v>
      </c>
      <c r="R2" s="19" t="s">
        <v>139</v>
      </c>
      <c r="U2" s="19" t="s">
        <v>140</v>
      </c>
      <c r="V2" s="34" t="s">
        <v>141</v>
      </c>
      <c r="W2" s="35" t="str">
        <f>CONCATENATE("Reclamación por el amparo de ",U2," del titular ",Q2," CC ",R2," por el crédito  ",O2)</f>
        <v>Reclamación por el amparo de pegar en el # siniestro del titular Confirmado CC Siniestro fuera de vigencia por el crédito  GD Vida Deudores</v>
      </c>
      <c r="Y2" s="29" t="s">
        <v>37</v>
      </c>
      <c r="Z2" s="19" t="s">
        <v>142</v>
      </c>
      <c r="AA2" s="19" t="s">
        <v>143</v>
      </c>
      <c r="AB2" s="19" t="s">
        <v>144</v>
      </c>
      <c r="AC2" s="36">
        <v>100</v>
      </c>
      <c r="AD2" s="19" t="s">
        <v>129</v>
      </c>
      <c r="AE2" s="37" t="s">
        <v>145</v>
      </c>
      <c r="DS2" s="19"/>
      <c r="DT2" s="19"/>
      <c r="DU2" s="19"/>
      <c r="DV2" s="19"/>
      <c r="DW2" s="19"/>
    </row>
    <row r="3" spans="1:127" ht="14.25" customHeight="1" x14ac:dyDescent="0.25">
      <c r="A3" s="38">
        <v>43834</v>
      </c>
      <c r="B3" s="39" t="s">
        <v>146</v>
      </c>
      <c r="C3" s="40">
        <v>641</v>
      </c>
      <c r="D3" s="26" t="s">
        <v>147</v>
      </c>
      <c r="E3" s="27" t="s">
        <v>148</v>
      </c>
      <c r="F3" s="28" t="s">
        <v>149</v>
      </c>
      <c r="G3" s="27" t="s">
        <v>150</v>
      </c>
      <c r="H3" s="29" t="s">
        <v>151</v>
      </c>
      <c r="I3" s="30" t="s">
        <v>152</v>
      </c>
      <c r="J3" s="31" t="s">
        <v>153</v>
      </c>
      <c r="K3" s="31" t="s">
        <v>154</v>
      </c>
      <c r="M3" s="19" t="s">
        <v>155</v>
      </c>
      <c r="N3" s="19" t="s">
        <v>156</v>
      </c>
      <c r="O3" s="33" t="s">
        <v>157</v>
      </c>
      <c r="P3" s="19" t="s">
        <v>158</v>
      </c>
      <c r="Q3" s="19" t="s">
        <v>159</v>
      </c>
      <c r="R3" s="19" t="s">
        <v>160</v>
      </c>
      <c r="T3" s="34" t="s">
        <v>161</v>
      </c>
      <c r="U3" s="35" t="str">
        <f>CONCATENATE("Reclamación por el amparo de ",S3," del titular ",O3," CC ",P3," por el crédito  ",M3," nota: ",DX3)</f>
        <v xml:space="preserve">Reclamación por el amparo de  del titular GC Vida Grupo CC 1B por el crédito  pendiente carta nota: </v>
      </c>
      <c r="V3" s="34" t="s">
        <v>162</v>
      </c>
      <c r="W3" s="35" t="str">
        <f>CONCATENATE("Reclamación por el amparo de ",U3," del titular ",Q3," CC ",R3)</f>
        <v>Reclamación por el amparo de Reclamación por el amparo de  del titular GC Vida Grupo CC 1B por el crédito  pendiente carta nota:  del titular Sospechoso CC Aplicación de Exclusiones Particulares</v>
      </c>
      <c r="Y3" s="29" t="s">
        <v>151</v>
      </c>
      <c r="Z3" s="19" t="s">
        <v>142</v>
      </c>
      <c r="AA3" s="19" t="s">
        <v>143</v>
      </c>
      <c r="AB3" s="19" t="s">
        <v>163</v>
      </c>
      <c r="AC3" s="41">
        <v>381</v>
      </c>
      <c r="AD3" s="42" t="s">
        <v>164</v>
      </c>
      <c r="AE3" s="42" t="s">
        <v>145</v>
      </c>
      <c r="AG3" s="43" t="s">
        <v>0</v>
      </c>
      <c r="AH3" s="43" t="s">
        <v>685</v>
      </c>
      <c r="AI3" s="43" t="str">
        <f t="shared" ref="AI3:AI80" si="0">CONCATENATE("Col",AH3)</f>
        <v>Col#REF!</v>
      </c>
      <c r="AJ3" s="43" t="e">
        <f t="shared" ref="AJ3:AJ80" si="1">SUBSTITUTE(ADDRESS(1,AH3,4),"1","")</f>
        <v>#VALUE!</v>
      </c>
      <c r="AM3" s="19" t="s">
        <v>165</v>
      </c>
      <c r="AN3" s="19">
        <f>COUNTA('[1]2022 (Enero-Jul)'!A:A)</f>
        <v>1048576</v>
      </c>
    </row>
    <row r="4" spans="1:127" ht="14.25" customHeight="1" x14ac:dyDescent="0.25">
      <c r="A4" s="38">
        <v>43835</v>
      </c>
      <c r="B4" s="39" t="s">
        <v>166</v>
      </c>
      <c r="C4" s="40">
        <v>372</v>
      </c>
      <c r="D4" s="26" t="s">
        <v>167</v>
      </c>
      <c r="E4" s="27" t="s">
        <v>42</v>
      </c>
      <c r="F4" s="28" t="s">
        <v>168</v>
      </c>
      <c r="G4" s="27" t="s">
        <v>169</v>
      </c>
      <c r="H4" s="29" t="s">
        <v>154</v>
      </c>
      <c r="I4" s="30" t="s">
        <v>170</v>
      </c>
      <c r="J4" s="31" t="s">
        <v>44</v>
      </c>
      <c r="K4" s="31" t="s">
        <v>151</v>
      </c>
      <c r="M4" s="19" t="s">
        <v>143</v>
      </c>
      <c r="N4" s="19" t="s">
        <v>35</v>
      </c>
      <c r="P4" s="19" t="s">
        <v>171</v>
      </c>
      <c r="R4" s="19" t="s">
        <v>172</v>
      </c>
      <c r="T4" s="19" t="s">
        <v>173</v>
      </c>
      <c r="U4" s="44" t="s">
        <v>174</v>
      </c>
      <c r="Y4" s="29" t="s">
        <v>154</v>
      </c>
      <c r="Z4" s="19" t="s">
        <v>175</v>
      </c>
      <c r="AA4" s="19" t="s">
        <v>176</v>
      </c>
      <c r="AB4" s="19" t="s">
        <v>177</v>
      </c>
      <c r="AC4" s="45">
        <v>382</v>
      </c>
      <c r="AD4" s="46" t="s">
        <v>178</v>
      </c>
      <c r="AE4" s="46" t="s">
        <v>145</v>
      </c>
      <c r="AG4" s="43" t="s">
        <v>1</v>
      </c>
      <c r="AH4" s="43" t="s">
        <v>685</v>
      </c>
      <c r="AI4" s="43" t="str">
        <f t="shared" si="0"/>
        <v>Col#REF!</v>
      </c>
      <c r="AJ4" s="43" t="e">
        <f t="shared" si="1"/>
        <v>#VALUE!</v>
      </c>
    </row>
    <row r="5" spans="1:127" ht="14.25" customHeight="1" x14ac:dyDescent="0.25">
      <c r="A5" s="38">
        <v>43836</v>
      </c>
      <c r="B5" s="39" t="s">
        <v>179</v>
      </c>
      <c r="C5" s="40">
        <v>640</v>
      </c>
      <c r="D5" s="26" t="s">
        <v>61</v>
      </c>
      <c r="E5" s="27" t="s">
        <v>180</v>
      </c>
      <c r="F5" s="28" t="s">
        <v>181</v>
      </c>
      <c r="G5" s="27" t="s">
        <v>182</v>
      </c>
      <c r="H5" s="29" t="s">
        <v>134</v>
      </c>
      <c r="I5" s="30" t="s">
        <v>183</v>
      </c>
      <c r="J5" s="31" t="s">
        <v>181</v>
      </c>
      <c r="K5" s="31" t="s">
        <v>37</v>
      </c>
      <c r="M5" s="19" t="s">
        <v>184</v>
      </c>
      <c r="P5" s="19" t="s">
        <v>185</v>
      </c>
      <c r="R5" s="19" t="s">
        <v>186</v>
      </c>
      <c r="Y5" s="29" t="s">
        <v>134</v>
      </c>
      <c r="Z5" s="19" t="s">
        <v>175</v>
      </c>
      <c r="AA5" s="19" t="s">
        <v>184</v>
      </c>
      <c r="AB5" s="19" t="s">
        <v>187</v>
      </c>
      <c r="AC5" s="45">
        <v>395</v>
      </c>
      <c r="AD5" s="46" t="s">
        <v>188</v>
      </c>
      <c r="AE5" s="46" t="s">
        <v>145</v>
      </c>
      <c r="AG5" s="43" t="s">
        <v>2</v>
      </c>
      <c r="AH5" s="43" t="s">
        <v>685</v>
      </c>
      <c r="AI5" s="43" t="str">
        <f t="shared" si="0"/>
        <v>Col#REF!</v>
      </c>
      <c r="AJ5" s="43" t="e">
        <f t="shared" si="1"/>
        <v>#VALUE!</v>
      </c>
    </row>
    <row r="6" spans="1:127" ht="14.25" customHeight="1" x14ac:dyDescent="0.25">
      <c r="A6" s="38">
        <v>43841</v>
      </c>
      <c r="B6" s="39" t="s">
        <v>54</v>
      </c>
      <c r="C6" s="40">
        <v>650</v>
      </c>
      <c r="D6" s="26"/>
      <c r="E6" s="27" t="s">
        <v>50</v>
      </c>
      <c r="F6" s="28" t="s">
        <v>189</v>
      </c>
      <c r="G6" s="27" t="s">
        <v>190</v>
      </c>
      <c r="H6" s="31" t="s">
        <v>191</v>
      </c>
      <c r="I6" s="30" t="s">
        <v>192</v>
      </c>
      <c r="J6" s="29" t="s">
        <v>193</v>
      </c>
      <c r="K6" s="31" t="s">
        <v>191</v>
      </c>
      <c r="M6" s="19" t="s">
        <v>176</v>
      </c>
      <c r="P6" s="19" t="s">
        <v>194</v>
      </c>
      <c r="R6" s="19" t="s">
        <v>195</v>
      </c>
      <c r="U6" s="47"/>
      <c r="AB6" s="19" t="s">
        <v>196</v>
      </c>
      <c r="AC6" s="45">
        <v>373</v>
      </c>
      <c r="AD6" s="46" t="s">
        <v>197</v>
      </c>
      <c r="AE6" s="46" t="s">
        <v>145</v>
      </c>
      <c r="AG6" s="43" t="s">
        <v>3</v>
      </c>
      <c r="AH6" s="43" t="s">
        <v>685</v>
      </c>
      <c r="AI6" s="43" t="str">
        <f t="shared" si="0"/>
        <v>Col#REF!</v>
      </c>
      <c r="AJ6" s="43" t="e">
        <f t="shared" si="1"/>
        <v>#VALUE!</v>
      </c>
      <c r="AM6" s="84" t="s">
        <v>198</v>
      </c>
      <c r="AN6" s="85"/>
      <c r="AO6" s="86"/>
    </row>
    <row r="7" spans="1:127" ht="14.25" customHeight="1" x14ac:dyDescent="0.25">
      <c r="A7" s="38">
        <v>43842</v>
      </c>
      <c r="B7" s="39" t="s">
        <v>199</v>
      </c>
      <c r="C7" s="40">
        <v>651</v>
      </c>
      <c r="D7" s="26"/>
      <c r="E7" s="31" t="s">
        <v>200</v>
      </c>
      <c r="F7" s="28" t="s">
        <v>201</v>
      </c>
      <c r="G7" s="29" t="s">
        <v>202</v>
      </c>
      <c r="H7" s="31"/>
      <c r="I7" s="30" t="s">
        <v>203</v>
      </c>
      <c r="J7" s="29" t="s">
        <v>204</v>
      </c>
      <c r="K7" s="31"/>
      <c r="M7" s="19" t="s">
        <v>205</v>
      </c>
      <c r="P7" s="19" t="s">
        <v>206</v>
      </c>
      <c r="R7" s="19" t="s">
        <v>207</v>
      </c>
      <c r="AC7" s="45">
        <v>383</v>
      </c>
      <c r="AD7" s="46" t="s">
        <v>208</v>
      </c>
      <c r="AE7" s="46" t="s">
        <v>145</v>
      </c>
      <c r="AG7" s="43" t="s">
        <v>4</v>
      </c>
      <c r="AH7" s="43" t="s">
        <v>685</v>
      </c>
      <c r="AI7" s="43" t="str">
        <f t="shared" si="0"/>
        <v>Col#REF!</v>
      </c>
      <c r="AJ7" s="43" t="e">
        <f t="shared" si="1"/>
        <v>#VALUE!</v>
      </c>
      <c r="AM7" s="43" t="s">
        <v>209</v>
      </c>
      <c r="AN7" s="43">
        <v>3</v>
      </c>
      <c r="AO7" s="43">
        <v>5</v>
      </c>
    </row>
    <row r="8" spans="1:127" ht="14.25" customHeight="1" x14ac:dyDescent="0.25">
      <c r="A8" s="38">
        <v>43848</v>
      </c>
      <c r="B8" s="39" t="s">
        <v>210</v>
      </c>
      <c r="C8" s="40">
        <v>660</v>
      </c>
      <c r="D8" s="26"/>
      <c r="E8" s="31" t="s">
        <v>211</v>
      </c>
      <c r="F8" s="28" t="s">
        <v>193</v>
      </c>
      <c r="G8" s="31"/>
      <c r="H8" s="31"/>
      <c r="I8" s="30" t="s">
        <v>212</v>
      </c>
      <c r="J8" s="31" t="s">
        <v>213</v>
      </c>
      <c r="K8" s="31"/>
      <c r="P8" s="19" t="s">
        <v>214</v>
      </c>
      <c r="R8" s="19" t="s">
        <v>215</v>
      </c>
      <c r="AC8" s="45">
        <v>376</v>
      </c>
      <c r="AD8" s="46" t="s">
        <v>216</v>
      </c>
      <c r="AE8" s="46" t="s">
        <v>145</v>
      </c>
      <c r="AG8" s="43" t="s">
        <v>5</v>
      </c>
      <c r="AH8" s="43" t="s">
        <v>685</v>
      </c>
      <c r="AI8" s="43" t="str">
        <f t="shared" si="0"/>
        <v>Col#REF!</v>
      </c>
      <c r="AJ8" s="43" t="e">
        <f t="shared" si="1"/>
        <v>#VALUE!</v>
      </c>
      <c r="AM8" s="43" t="s">
        <v>217</v>
      </c>
      <c r="AN8" s="43">
        <v>4</v>
      </c>
      <c r="AO8" s="43"/>
    </row>
    <row r="9" spans="1:127" ht="14.25" customHeight="1" x14ac:dyDescent="0.25">
      <c r="A9" s="38">
        <v>43849</v>
      </c>
      <c r="B9" s="39" t="s">
        <v>218</v>
      </c>
      <c r="C9" s="40">
        <v>680</v>
      </c>
      <c r="D9" s="26"/>
      <c r="E9" s="31" t="s">
        <v>219</v>
      </c>
      <c r="F9" s="29" t="s">
        <v>220</v>
      </c>
      <c r="G9" s="31"/>
      <c r="H9" s="31"/>
      <c r="I9" s="30"/>
      <c r="J9" s="31" t="s">
        <v>221</v>
      </c>
      <c r="K9" s="31"/>
      <c r="P9" s="19" t="s">
        <v>222</v>
      </c>
      <c r="R9" s="19" t="s">
        <v>223</v>
      </c>
      <c r="AC9" s="45">
        <v>371</v>
      </c>
      <c r="AD9" s="46" t="s">
        <v>224</v>
      </c>
      <c r="AE9" s="46" t="s">
        <v>145</v>
      </c>
      <c r="AG9" s="43" t="s">
        <v>225</v>
      </c>
      <c r="AH9" s="43" t="s">
        <v>685</v>
      </c>
      <c r="AI9" s="43" t="str">
        <f t="shared" si="0"/>
        <v>Col#REF!</v>
      </c>
      <c r="AJ9" s="43" t="e">
        <f t="shared" si="1"/>
        <v>#VALUE!</v>
      </c>
    </row>
    <row r="10" spans="1:127" ht="14.25" customHeight="1" x14ac:dyDescent="0.25">
      <c r="A10" s="38">
        <v>43855</v>
      </c>
      <c r="B10" s="39" t="s">
        <v>226</v>
      </c>
      <c r="C10" s="40">
        <v>681</v>
      </c>
      <c r="D10" s="26"/>
      <c r="E10" s="31" t="s">
        <v>227</v>
      </c>
      <c r="F10" s="31" t="s">
        <v>44</v>
      </c>
      <c r="G10" s="31"/>
      <c r="H10" s="31"/>
      <c r="I10" s="30"/>
      <c r="J10" s="48" t="s">
        <v>228</v>
      </c>
      <c r="K10" s="31"/>
      <c r="P10" s="19" t="s">
        <v>229</v>
      </c>
      <c r="R10" s="19" t="s">
        <v>230</v>
      </c>
      <c r="AC10" s="45">
        <v>402</v>
      </c>
      <c r="AD10" s="46" t="s">
        <v>231</v>
      </c>
      <c r="AE10" s="46" t="s">
        <v>145</v>
      </c>
      <c r="AG10" s="43" t="s">
        <v>232</v>
      </c>
      <c r="AH10" s="43" t="s">
        <v>685</v>
      </c>
      <c r="AI10" s="43" t="str">
        <f t="shared" si="0"/>
        <v>Col#REF!</v>
      </c>
      <c r="AJ10" s="43" t="e">
        <f t="shared" si="1"/>
        <v>#VALUE!</v>
      </c>
    </row>
    <row r="11" spans="1:127" ht="14.25" customHeight="1" x14ac:dyDescent="0.25">
      <c r="A11" s="38">
        <v>43856</v>
      </c>
      <c r="B11" s="39" t="s">
        <v>233</v>
      </c>
      <c r="C11" s="40">
        <v>661</v>
      </c>
      <c r="D11" s="26"/>
      <c r="E11" s="31"/>
      <c r="F11" s="31" t="s">
        <v>234</v>
      </c>
      <c r="G11" s="31" t="s">
        <v>235</v>
      </c>
      <c r="H11" s="31"/>
      <c r="J11" s="31" t="s">
        <v>236</v>
      </c>
      <c r="K11" s="31"/>
      <c r="P11" s="19" t="s">
        <v>237</v>
      </c>
      <c r="R11" s="19" t="s">
        <v>238</v>
      </c>
      <c r="AC11" s="45">
        <v>391</v>
      </c>
      <c r="AD11" s="46" t="s">
        <v>239</v>
      </c>
      <c r="AE11" s="46" t="s">
        <v>145</v>
      </c>
      <c r="AG11" s="43" t="s">
        <v>6</v>
      </c>
      <c r="AH11" s="43" t="s">
        <v>685</v>
      </c>
      <c r="AI11" s="43" t="str">
        <f t="shared" si="0"/>
        <v>Col#REF!</v>
      </c>
      <c r="AJ11" s="43" t="e">
        <f t="shared" si="1"/>
        <v>#VALUE!</v>
      </c>
    </row>
    <row r="12" spans="1:127" ht="14.25" customHeight="1" x14ac:dyDescent="0.25">
      <c r="A12" s="38">
        <v>43862</v>
      </c>
      <c r="B12" s="39" t="s">
        <v>240</v>
      </c>
      <c r="C12" s="40">
        <v>670</v>
      </c>
      <c r="D12" s="26"/>
      <c r="E12" s="31"/>
      <c r="F12" s="31" t="s">
        <v>70</v>
      </c>
      <c r="G12" s="31"/>
      <c r="H12" s="31"/>
      <c r="I12" s="30"/>
      <c r="J12" s="48" t="s">
        <v>47</v>
      </c>
      <c r="K12" s="31"/>
      <c r="P12" s="19" t="s">
        <v>241</v>
      </c>
      <c r="R12" s="19" t="s">
        <v>242</v>
      </c>
      <c r="AC12" s="45">
        <v>390</v>
      </c>
      <c r="AD12" s="46" t="s">
        <v>243</v>
      </c>
      <c r="AE12" s="46" t="s">
        <v>145</v>
      </c>
      <c r="AG12" s="43" t="s">
        <v>7</v>
      </c>
      <c r="AH12" s="43" t="s">
        <v>685</v>
      </c>
      <c r="AI12" s="43" t="str">
        <f t="shared" si="0"/>
        <v>Col#REF!</v>
      </c>
      <c r="AJ12" s="43" t="e">
        <f t="shared" si="1"/>
        <v>#VALUE!</v>
      </c>
    </row>
    <row r="13" spans="1:127" ht="14.25" customHeight="1" x14ac:dyDescent="0.25">
      <c r="A13" s="38">
        <v>43863</v>
      </c>
      <c r="B13" s="39" t="s">
        <v>244</v>
      </c>
      <c r="C13" s="40">
        <v>672</v>
      </c>
      <c r="D13" s="26"/>
      <c r="E13" s="31"/>
      <c r="F13" s="31" t="s">
        <v>245</v>
      </c>
      <c r="G13" s="31" t="s">
        <v>150</v>
      </c>
      <c r="H13" s="39"/>
      <c r="I13" s="40"/>
      <c r="J13" s="31"/>
      <c r="K13" s="31"/>
      <c r="P13" s="19" t="s">
        <v>246</v>
      </c>
      <c r="R13" s="19" t="s">
        <v>247</v>
      </c>
      <c r="AC13" s="45">
        <v>380</v>
      </c>
      <c r="AD13" s="46" t="s">
        <v>248</v>
      </c>
      <c r="AE13" s="46" t="s">
        <v>145</v>
      </c>
      <c r="AG13" s="43" t="s">
        <v>8</v>
      </c>
      <c r="AH13" s="43" t="s">
        <v>685</v>
      </c>
      <c r="AI13" s="43" t="str">
        <f t="shared" si="0"/>
        <v>Col#REF!</v>
      </c>
      <c r="AJ13" s="43" t="e">
        <f t="shared" si="1"/>
        <v>#VALUE!</v>
      </c>
    </row>
    <row r="14" spans="1:127" ht="14.25" customHeight="1" x14ac:dyDescent="0.25">
      <c r="A14" s="38">
        <v>43869</v>
      </c>
      <c r="B14" s="39" t="s">
        <v>249</v>
      </c>
      <c r="C14" s="40">
        <v>930</v>
      </c>
      <c r="D14" s="26"/>
      <c r="E14" s="31"/>
      <c r="F14" s="31"/>
      <c r="G14" s="31" t="s">
        <v>250</v>
      </c>
      <c r="H14" s="39"/>
      <c r="I14" s="40"/>
      <c r="J14" s="31"/>
      <c r="K14" s="31"/>
      <c r="R14" s="19" t="s">
        <v>251</v>
      </c>
      <c r="AC14" s="45">
        <v>370</v>
      </c>
      <c r="AD14" s="46" t="s">
        <v>48</v>
      </c>
      <c r="AE14" s="46" t="s">
        <v>145</v>
      </c>
      <c r="AG14" s="43" t="s">
        <v>9</v>
      </c>
      <c r="AH14" s="43" t="s">
        <v>685</v>
      </c>
      <c r="AI14" s="43" t="str">
        <f t="shared" si="0"/>
        <v>Col#REF!</v>
      </c>
      <c r="AJ14" s="43" t="e">
        <f t="shared" si="1"/>
        <v>#VALUE!</v>
      </c>
    </row>
    <row r="15" spans="1:127" ht="14.25" customHeight="1" x14ac:dyDescent="0.25">
      <c r="A15" s="38">
        <v>43870</v>
      </c>
      <c r="B15" s="39" t="s">
        <v>252</v>
      </c>
      <c r="C15" s="40">
        <v>671</v>
      </c>
      <c r="D15" s="26"/>
      <c r="E15" s="31"/>
      <c r="F15" s="31"/>
      <c r="G15" s="31" t="s">
        <v>182</v>
      </c>
      <c r="H15" s="39"/>
      <c r="I15" s="40"/>
      <c r="J15" s="31"/>
      <c r="K15" s="31"/>
      <c r="R15" s="19" t="s">
        <v>253</v>
      </c>
      <c r="AC15" s="45">
        <v>403</v>
      </c>
      <c r="AD15" s="46" t="s">
        <v>254</v>
      </c>
      <c r="AE15" s="46" t="s">
        <v>145</v>
      </c>
      <c r="AG15" s="43" t="s">
        <v>255</v>
      </c>
      <c r="AH15" s="43" t="s">
        <v>685</v>
      </c>
      <c r="AI15" s="43" t="str">
        <f t="shared" si="0"/>
        <v>Col#REF!</v>
      </c>
      <c r="AJ15" s="43" t="e">
        <f t="shared" si="1"/>
        <v>#VALUE!</v>
      </c>
    </row>
    <row r="16" spans="1:127" ht="14.25" customHeight="1" x14ac:dyDescent="0.25">
      <c r="A16" s="38">
        <v>43876</v>
      </c>
      <c r="B16" s="39" t="s">
        <v>48</v>
      </c>
      <c r="C16" s="40">
        <v>370</v>
      </c>
      <c r="D16" s="26"/>
      <c r="E16" s="31"/>
      <c r="F16" s="31"/>
      <c r="G16" s="31" t="s">
        <v>256</v>
      </c>
      <c r="H16" s="39"/>
      <c r="I16" s="40"/>
      <c r="J16" s="31"/>
      <c r="K16" s="31"/>
      <c r="R16" s="19" t="s">
        <v>257</v>
      </c>
      <c r="AC16" s="45">
        <v>400</v>
      </c>
      <c r="AD16" s="46" t="s">
        <v>258</v>
      </c>
      <c r="AE16" s="46" t="s">
        <v>145</v>
      </c>
      <c r="AG16" s="43" t="s">
        <v>10</v>
      </c>
      <c r="AH16" s="43" t="s">
        <v>685</v>
      </c>
      <c r="AI16" s="43" t="str">
        <f t="shared" si="0"/>
        <v>Col#REF!</v>
      </c>
      <c r="AJ16" s="43" t="e">
        <f t="shared" si="1"/>
        <v>#VALUE!</v>
      </c>
    </row>
    <row r="17" spans="1:36" ht="14.25" customHeight="1" x14ac:dyDescent="0.25">
      <c r="A17" s="38">
        <v>43877</v>
      </c>
      <c r="B17" s="39" t="s">
        <v>259</v>
      </c>
      <c r="C17" s="40">
        <v>374</v>
      </c>
      <c r="D17" s="26"/>
      <c r="E17" s="31"/>
      <c r="F17" s="31"/>
      <c r="G17" s="31" t="s">
        <v>260</v>
      </c>
      <c r="H17" s="39"/>
      <c r="I17" s="40"/>
      <c r="J17" s="31"/>
      <c r="K17" s="31"/>
      <c r="Q17" s="19" t="s">
        <v>261</v>
      </c>
      <c r="AC17" s="45">
        <v>374</v>
      </c>
      <c r="AD17" s="46" t="s">
        <v>259</v>
      </c>
      <c r="AE17" s="46" t="s">
        <v>145</v>
      </c>
      <c r="AG17" s="43" t="s">
        <v>11</v>
      </c>
      <c r="AH17" s="43" t="s">
        <v>685</v>
      </c>
      <c r="AI17" s="43" t="str">
        <f t="shared" si="0"/>
        <v>Col#REF!</v>
      </c>
      <c r="AJ17" s="43" t="e">
        <f t="shared" si="1"/>
        <v>#VALUE!</v>
      </c>
    </row>
    <row r="18" spans="1:36" ht="14.25" customHeight="1" x14ac:dyDescent="0.25">
      <c r="A18" s="38">
        <v>43883</v>
      </c>
      <c r="B18" s="39" t="s">
        <v>248</v>
      </c>
      <c r="C18" s="40">
        <v>380</v>
      </c>
      <c r="D18" s="26"/>
      <c r="E18" s="31"/>
      <c r="F18" s="31"/>
      <c r="G18" s="31"/>
      <c r="H18" s="39"/>
      <c r="I18" s="40"/>
      <c r="J18" s="31"/>
      <c r="K18" s="31"/>
      <c r="Q18" s="49">
        <v>45160</v>
      </c>
      <c r="AC18" s="45">
        <v>290</v>
      </c>
      <c r="AD18" s="46" t="s">
        <v>262</v>
      </c>
      <c r="AE18" s="46" t="s">
        <v>263</v>
      </c>
      <c r="AG18" s="43" t="s">
        <v>12</v>
      </c>
      <c r="AH18" s="43" t="s">
        <v>685</v>
      </c>
      <c r="AI18" s="43" t="str">
        <f t="shared" si="0"/>
        <v>Col#REF!</v>
      </c>
      <c r="AJ18" s="43" t="e">
        <f t="shared" si="1"/>
        <v>#VALUE!</v>
      </c>
    </row>
    <row r="19" spans="1:36" ht="14.25" customHeight="1" x14ac:dyDescent="0.25">
      <c r="A19" s="38">
        <v>43884</v>
      </c>
      <c r="B19" s="39" t="s">
        <v>208</v>
      </c>
      <c r="C19" s="40">
        <v>383</v>
      </c>
      <c r="D19" s="26"/>
      <c r="E19" s="31"/>
      <c r="F19" s="31"/>
      <c r="G19" s="31" t="s">
        <v>264</v>
      </c>
      <c r="H19" s="39"/>
      <c r="I19" s="40"/>
      <c r="J19" s="31"/>
      <c r="K19" s="31"/>
      <c r="AC19" s="45">
        <v>110</v>
      </c>
      <c r="AD19" s="46" t="s">
        <v>265</v>
      </c>
      <c r="AE19" s="46" t="s">
        <v>263</v>
      </c>
      <c r="AG19" s="43" t="s">
        <v>13</v>
      </c>
      <c r="AH19" s="43" t="s">
        <v>685</v>
      </c>
      <c r="AI19" s="43" t="str">
        <f t="shared" si="0"/>
        <v>Col#REF!</v>
      </c>
      <c r="AJ19" s="43" t="e">
        <f t="shared" si="1"/>
        <v>#VALUE!</v>
      </c>
    </row>
    <row r="20" spans="1:36" ht="14.25" customHeight="1" x14ac:dyDescent="0.25">
      <c r="A20" s="38">
        <v>43890</v>
      </c>
      <c r="B20" s="39" t="s">
        <v>243</v>
      </c>
      <c r="C20" s="40">
        <v>390</v>
      </c>
      <c r="D20" s="26"/>
      <c r="E20" s="31"/>
      <c r="F20" s="31"/>
      <c r="G20" s="31" t="s">
        <v>266</v>
      </c>
      <c r="H20" s="39"/>
      <c r="I20" s="40"/>
      <c r="J20" s="31"/>
      <c r="K20" s="31"/>
      <c r="AC20" s="45">
        <v>130</v>
      </c>
      <c r="AD20" s="46" t="s">
        <v>267</v>
      </c>
      <c r="AE20" s="46" t="s">
        <v>263</v>
      </c>
      <c r="AG20" s="43" t="s">
        <v>14</v>
      </c>
      <c r="AH20" s="43" t="s">
        <v>685</v>
      </c>
      <c r="AI20" s="43" t="str">
        <f t="shared" si="0"/>
        <v>Col#REF!</v>
      </c>
      <c r="AJ20" s="43" t="e">
        <f t="shared" si="1"/>
        <v>#VALUE!</v>
      </c>
    </row>
    <row r="21" spans="1:36" ht="14.25" customHeight="1" x14ac:dyDescent="0.25">
      <c r="A21" s="38">
        <v>43897</v>
      </c>
      <c r="B21" s="39" t="s">
        <v>268</v>
      </c>
      <c r="C21" s="40">
        <v>395</v>
      </c>
      <c r="D21" s="26"/>
      <c r="E21" s="31"/>
      <c r="F21" s="31"/>
      <c r="G21" s="31" t="s">
        <v>269</v>
      </c>
      <c r="H21" s="39"/>
      <c r="I21" s="40"/>
      <c r="J21" s="31"/>
      <c r="K21" s="31"/>
      <c r="AC21" s="45">
        <v>140</v>
      </c>
      <c r="AD21" s="46" t="s">
        <v>270</v>
      </c>
      <c r="AE21" s="46" t="s">
        <v>263</v>
      </c>
      <c r="AG21" s="43" t="s">
        <v>116</v>
      </c>
      <c r="AH21" s="43" t="s">
        <v>685</v>
      </c>
      <c r="AI21" s="43" t="str">
        <f t="shared" si="0"/>
        <v>Col#REF!</v>
      </c>
      <c r="AJ21" s="43" t="e">
        <f t="shared" si="1"/>
        <v>#VALUE!</v>
      </c>
    </row>
    <row r="22" spans="1:36" ht="14.25" customHeight="1" x14ac:dyDescent="0.25">
      <c r="A22" s="38">
        <v>43898</v>
      </c>
      <c r="B22" s="39" t="s">
        <v>239</v>
      </c>
      <c r="C22" s="40">
        <v>391</v>
      </c>
      <c r="D22" s="26"/>
      <c r="E22" s="31"/>
      <c r="F22" s="31"/>
      <c r="G22" s="31" t="s">
        <v>271</v>
      </c>
      <c r="H22" s="39"/>
      <c r="I22" s="40"/>
      <c r="J22" s="31"/>
      <c r="K22" s="31"/>
      <c r="AC22" s="45">
        <v>150</v>
      </c>
      <c r="AD22" s="46" t="s">
        <v>272</v>
      </c>
      <c r="AE22" s="46" t="s">
        <v>263</v>
      </c>
      <c r="AG22" s="43" t="s">
        <v>15</v>
      </c>
      <c r="AH22" s="43" t="s">
        <v>685</v>
      </c>
      <c r="AI22" s="43" t="str">
        <f t="shared" si="0"/>
        <v>Col#REF!</v>
      </c>
      <c r="AJ22" s="43" t="e">
        <f t="shared" si="1"/>
        <v>#VALUE!</v>
      </c>
    </row>
    <row r="23" spans="1:36" ht="14.25" customHeight="1" x14ac:dyDescent="0.25">
      <c r="A23" s="38">
        <v>43904</v>
      </c>
      <c r="B23" s="39" t="s">
        <v>164</v>
      </c>
      <c r="C23" s="40">
        <v>381</v>
      </c>
      <c r="D23" s="26"/>
      <c r="E23" s="31"/>
      <c r="F23" s="31"/>
      <c r="G23" s="31" t="s">
        <v>273</v>
      </c>
      <c r="H23" s="39"/>
      <c r="I23" s="40"/>
      <c r="J23" s="31"/>
      <c r="K23" s="50"/>
      <c r="AC23" s="45">
        <v>142</v>
      </c>
      <c r="AD23" s="46" t="s">
        <v>274</v>
      </c>
      <c r="AE23" s="46" t="s">
        <v>263</v>
      </c>
      <c r="AG23" s="43" t="s">
        <v>275</v>
      </c>
      <c r="AH23" s="43" t="s">
        <v>685</v>
      </c>
      <c r="AI23" s="43" t="str">
        <f t="shared" si="0"/>
        <v>Col#REF!</v>
      </c>
      <c r="AJ23" s="43" t="e">
        <f t="shared" si="1"/>
        <v>#VALUE!</v>
      </c>
    </row>
    <row r="24" spans="1:36" ht="14.25" customHeight="1" x14ac:dyDescent="0.25">
      <c r="A24" s="38">
        <v>43905</v>
      </c>
      <c r="B24" s="39" t="s">
        <v>224</v>
      </c>
      <c r="C24" s="40">
        <v>371</v>
      </c>
      <c r="D24" s="26"/>
      <c r="E24" s="31"/>
      <c r="F24" s="31"/>
      <c r="G24" s="31" t="s">
        <v>276</v>
      </c>
      <c r="H24" s="39"/>
      <c r="I24" s="40"/>
      <c r="J24" s="31"/>
      <c r="K24" s="31"/>
      <c r="AC24" s="45">
        <v>291</v>
      </c>
      <c r="AD24" s="46" t="s">
        <v>277</v>
      </c>
      <c r="AE24" s="46" t="s">
        <v>263</v>
      </c>
      <c r="AG24" s="43" t="s">
        <v>16</v>
      </c>
      <c r="AH24" s="43" t="s">
        <v>685</v>
      </c>
      <c r="AI24" s="43" t="str">
        <f t="shared" si="0"/>
        <v>Col#REF!</v>
      </c>
      <c r="AJ24" s="43" t="e">
        <f t="shared" si="1"/>
        <v>#VALUE!</v>
      </c>
    </row>
    <row r="25" spans="1:36" ht="14.25" customHeight="1" x14ac:dyDescent="0.25">
      <c r="A25" s="38">
        <v>43911</v>
      </c>
      <c r="B25" s="39" t="s">
        <v>197</v>
      </c>
      <c r="C25" s="40">
        <v>373</v>
      </c>
      <c r="D25" s="26"/>
      <c r="E25" s="31"/>
      <c r="F25" s="31"/>
      <c r="G25" s="31" t="s">
        <v>278</v>
      </c>
      <c r="H25" s="39"/>
      <c r="I25" s="40"/>
      <c r="J25" s="31"/>
      <c r="K25" s="31"/>
      <c r="AC25" s="45">
        <v>300</v>
      </c>
      <c r="AD25" s="46" t="s">
        <v>279</v>
      </c>
      <c r="AE25" s="46" t="s">
        <v>263</v>
      </c>
      <c r="AG25" s="43" t="s">
        <v>17</v>
      </c>
      <c r="AH25" s="43" t="s">
        <v>685</v>
      </c>
      <c r="AI25" s="43" t="str">
        <f t="shared" si="0"/>
        <v>Col#REF!</v>
      </c>
      <c r="AJ25" s="43" t="e">
        <f t="shared" si="1"/>
        <v>#VALUE!</v>
      </c>
    </row>
    <row r="26" spans="1:36" ht="14.25" customHeight="1" x14ac:dyDescent="0.25">
      <c r="A26" s="38">
        <v>43912</v>
      </c>
      <c r="B26" s="39" t="s">
        <v>178</v>
      </c>
      <c r="C26" s="40">
        <v>382</v>
      </c>
      <c r="D26" s="26"/>
      <c r="E26" s="31"/>
      <c r="F26" s="31"/>
      <c r="G26" s="31" t="s">
        <v>280</v>
      </c>
      <c r="H26" s="39"/>
      <c r="I26" s="40"/>
      <c r="J26" s="31"/>
      <c r="K26" s="31"/>
      <c r="AC26" s="45">
        <v>162</v>
      </c>
      <c r="AD26" s="46" t="s">
        <v>281</v>
      </c>
      <c r="AE26" s="46" t="s">
        <v>263</v>
      </c>
      <c r="AG26" s="43" t="s">
        <v>282</v>
      </c>
      <c r="AH26" s="43" t="s">
        <v>685</v>
      </c>
      <c r="AI26" s="43" t="str">
        <f t="shared" si="0"/>
        <v>Col#REF!</v>
      </c>
      <c r="AJ26" s="43" t="e">
        <f t="shared" si="1"/>
        <v>#VALUE!</v>
      </c>
    </row>
    <row r="27" spans="1:36" ht="14.25" customHeight="1" x14ac:dyDescent="0.25">
      <c r="A27" s="51">
        <v>43913</v>
      </c>
      <c r="B27" s="39" t="s">
        <v>258</v>
      </c>
      <c r="C27" s="40">
        <v>400</v>
      </c>
      <c r="D27" s="26"/>
      <c r="E27" s="31"/>
      <c r="F27" s="31"/>
      <c r="G27" s="31" t="s">
        <v>283</v>
      </c>
      <c r="H27" s="39"/>
      <c r="I27" s="40"/>
      <c r="J27" s="31"/>
      <c r="K27" s="31"/>
      <c r="AC27" s="45">
        <v>161</v>
      </c>
      <c r="AD27" s="46" t="s">
        <v>284</v>
      </c>
      <c r="AE27" s="46" t="s">
        <v>263</v>
      </c>
      <c r="AG27" s="43" t="s">
        <v>18</v>
      </c>
      <c r="AH27" s="43" t="s">
        <v>685</v>
      </c>
      <c r="AI27" s="43" t="str">
        <f t="shared" si="0"/>
        <v>Col#REF!</v>
      </c>
      <c r="AJ27" s="43" t="e">
        <f t="shared" si="1"/>
        <v>#VALUE!</v>
      </c>
    </row>
    <row r="28" spans="1:36" ht="14.25" customHeight="1" x14ac:dyDescent="0.25">
      <c r="A28" s="38">
        <v>43918</v>
      </c>
      <c r="B28" s="39" t="s">
        <v>285</v>
      </c>
      <c r="C28" s="40">
        <v>402</v>
      </c>
      <c r="D28" s="26"/>
      <c r="E28" s="31"/>
      <c r="F28" s="31"/>
      <c r="G28" s="31" t="s">
        <v>286</v>
      </c>
      <c r="H28" s="39"/>
      <c r="I28" s="40"/>
      <c r="J28" s="31"/>
      <c r="K28" s="31"/>
      <c r="AC28" s="45">
        <v>163</v>
      </c>
      <c r="AD28" s="46" t="s">
        <v>287</v>
      </c>
      <c r="AE28" s="46" t="s">
        <v>263</v>
      </c>
      <c r="AG28" s="43" t="s">
        <v>19</v>
      </c>
      <c r="AH28" s="43" t="s">
        <v>685</v>
      </c>
      <c r="AI28" s="43" t="str">
        <f t="shared" si="0"/>
        <v>Col#REF!</v>
      </c>
      <c r="AJ28" s="43" t="e">
        <f t="shared" si="1"/>
        <v>#VALUE!</v>
      </c>
    </row>
    <row r="29" spans="1:36" ht="14.25" customHeight="1" x14ac:dyDescent="0.25">
      <c r="A29" s="38">
        <v>43919</v>
      </c>
      <c r="B29" s="39" t="s">
        <v>288</v>
      </c>
      <c r="C29" s="40">
        <v>403</v>
      </c>
      <c r="D29" s="26"/>
      <c r="E29" s="31"/>
      <c r="F29" s="31"/>
      <c r="G29" s="31" t="s">
        <v>289</v>
      </c>
      <c r="H29" s="39"/>
      <c r="I29" s="40"/>
      <c r="J29" s="31"/>
      <c r="K29" s="31"/>
      <c r="AC29" s="45">
        <v>122</v>
      </c>
      <c r="AD29" s="46" t="s">
        <v>290</v>
      </c>
      <c r="AE29" s="46" t="s">
        <v>263</v>
      </c>
      <c r="AG29" s="43" t="s">
        <v>20</v>
      </c>
      <c r="AH29" s="43" t="s">
        <v>685</v>
      </c>
      <c r="AI29" s="43" t="str">
        <f t="shared" si="0"/>
        <v>Col#REF!</v>
      </c>
      <c r="AJ29" s="43" t="e">
        <f t="shared" si="1"/>
        <v>#VALUE!</v>
      </c>
    </row>
    <row r="30" spans="1:36" ht="14.25" customHeight="1" x14ac:dyDescent="0.25">
      <c r="A30" s="38">
        <v>43925</v>
      </c>
      <c r="B30" s="39" t="s">
        <v>291</v>
      </c>
      <c r="C30" s="40">
        <v>401</v>
      </c>
      <c r="D30" s="26"/>
      <c r="E30" s="31"/>
      <c r="F30" s="31"/>
      <c r="G30" s="31" t="s">
        <v>292</v>
      </c>
      <c r="H30" s="39"/>
      <c r="I30" s="40"/>
      <c r="J30" s="31"/>
      <c r="K30" s="31"/>
      <c r="AC30" s="45">
        <v>121</v>
      </c>
      <c r="AD30" s="46" t="s">
        <v>293</v>
      </c>
      <c r="AE30" s="46" t="s">
        <v>263</v>
      </c>
      <c r="AG30" s="43" t="s">
        <v>21</v>
      </c>
      <c r="AH30" s="43" t="s">
        <v>685</v>
      </c>
      <c r="AI30" s="43" t="str">
        <f t="shared" si="0"/>
        <v>Col#REF!</v>
      </c>
      <c r="AJ30" s="43" t="e">
        <f t="shared" si="1"/>
        <v>#VALUE!</v>
      </c>
    </row>
    <row r="31" spans="1:36" ht="14.25" customHeight="1" x14ac:dyDescent="0.25">
      <c r="A31" s="38">
        <v>43926</v>
      </c>
      <c r="B31" s="39" t="s">
        <v>294</v>
      </c>
      <c r="C31" s="40">
        <v>820</v>
      </c>
      <c r="D31" s="26"/>
      <c r="E31" s="31"/>
      <c r="F31" s="31"/>
      <c r="G31" s="31" t="s">
        <v>295</v>
      </c>
      <c r="H31" s="39"/>
      <c r="I31" s="40"/>
      <c r="J31" s="31"/>
      <c r="K31" s="31"/>
      <c r="AC31" s="45">
        <v>302</v>
      </c>
      <c r="AD31" s="46" t="s">
        <v>296</v>
      </c>
      <c r="AE31" s="46" t="s">
        <v>263</v>
      </c>
      <c r="AG31" s="43" t="s">
        <v>297</v>
      </c>
      <c r="AH31" s="43" t="s">
        <v>685</v>
      </c>
      <c r="AI31" s="43" t="str">
        <f t="shared" si="0"/>
        <v>Col#REF!</v>
      </c>
      <c r="AJ31" s="43" t="e">
        <f t="shared" si="1"/>
        <v>#VALUE!</v>
      </c>
    </row>
    <row r="32" spans="1:36" ht="14.25" customHeight="1" x14ac:dyDescent="0.25">
      <c r="A32" s="51">
        <v>43930</v>
      </c>
      <c r="B32" s="39" t="s">
        <v>73</v>
      </c>
      <c r="C32" s="40">
        <v>822</v>
      </c>
      <c r="D32" s="26"/>
      <c r="E32" s="31"/>
      <c r="F32" s="31"/>
      <c r="G32" s="31" t="s">
        <v>298</v>
      </c>
      <c r="H32" s="39"/>
      <c r="I32" s="40"/>
      <c r="J32" s="31"/>
      <c r="K32" s="31"/>
      <c r="AC32" s="45">
        <v>160</v>
      </c>
      <c r="AD32" s="46" t="s">
        <v>299</v>
      </c>
      <c r="AE32" s="46" t="s">
        <v>263</v>
      </c>
      <c r="AG32" s="43" t="s">
        <v>22</v>
      </c>
      <c r="AH32" s="43" t="s">
        <v>685</v>
      </c>
      <c r="AI32" s="43" t="str">
        <f t="shared" si="0"/>
        <v>Col#REF!</v>
      </c>
      <c r="AJ32" s="43" t="e">
        <f t="shared" si="1"/>
        <v>#VALUE!</v>
      </c>
    </row>
    <row r="33" spans="1:36" ht="14.25" customHeight="1" x14ac:dyDescent="0.25">
      <c r="A33" s="51">
        <v>43931</v>
      </c>
      <c r="B33" s="39" t="s">
        <v>300</v>
      </c>
      <c r="C33" s="40">
        <v>830</v>
      </c>
      <c r="D33" s="26"/>
      <c r="E33" s="31"/>
      <c r="F33" s="31"/>
      <c r="G33" s="31" t="s">
        <v>301</v>
      </c>
      <c r="H33" s="39"/>
      <c r="I33" s="40"/>
      <c r="J33" s="31"/>
      <c r="K33" s="31"/>
      <c r="AC33" s="45">
        <v>120</v>
      </c>
      <c r="AD33" s="46" t="s">
        <v>302</v>
      </c>
      <c r="AE33" s="46" t="s">
        <v>263</v>
      </c>
      <c r="AG33" s="43" t="s">
        <v>303</v>
      </c>
      <c r="AH33" s="43" t="s">
        <v>685</v>
      </c>
      <c r="AI33" s="43" t="str">
        <f t="shared" si="0"/>
        <v>Col#REF!</v>
      </c>
      <c r="AJ33" s="43" t="e">
        <f t="shared" si="1"/>
        <v>#VALUE!</v>
      </c>
    </row>
    <row r="34" spans="1:36" ht="14.25" customHeight="1" x14ac:dyDescent="0.25">
      <c r="A34" s="38">
        <v>43932</v>
      </c>
      <c r="B34" s="39" t="s">
        <v>304</v>
      </c>
      <c r="C34" s="40">
        <v>841</v>
      </c>
      <c r="D34" s="26"/>
      <c r="E34" s="31"/>
      <c r="F34" s="31"/>
      <c r="G34" s="31" t="s">
        <v>305</v>
      </c>
      <c r="H34" s="39"/>
      <c r="I34" s="40"/>
      <c r="J34" s="31"/>
      <c r="K34" s="31"/>
      <c r="AC34" s="45">
        <v>753</v>
      </c>
      <c r="AD34" s="46" t="s">
        <v>306</v>
      </c>
      <c r="AE34" s="46" t="s">
        <v>307</v>
      </c>
      <c r="AG34" s="43" t="s">
        <v>23</v>
      </c>
      <c r="AH34" s="43" t="s">
        <v>685</v>
      </c>
      <c r="AI34" s="43" t="str">
        <f t="shared" si="0"/>
        <v>Col#REF!</v>
      </c>
      <c r="AJ34" s="43" t="e">
        <f t="shared" si="1"/>
        <v>#VALUE!</v>
      </c>
    </row>
    <row r="35" spans="1:36" ht="14.25" customHeight="1" x14ac:dyDescent="0.25">
      <c r="A35" s="38">
        <v>43933</v>
      </c>
      <c r="B35" s="39" t="s">
        <v>308</v>
      </c>
      <c r="C35" s="40">
        <v>831</v>
      </c>
      <c r="D35" s="26"/>
      <c r="E35" s="31"/>
      <c r="F35" s="31"/>
      <c r="G35" s="31" t="s">
        <v>309</v>
      </c>
      <c r="H35" s="39"/>
      <c r="I35" s="40"/>
      <c r="J35" s="31"/>
      <c r="K35" s="31"/>
      <c r="AC35" s="45">
        <v>482</v>
      </c>
      <c r="AD35" s="46" t="s">
        <v>78</v>
      </c>
      <c r="AE35" s="46" t="s">
        <v>307</v>
      </c>
      <c r="AG35" s="43" t="s">
        <v>310</v>
      </c>
      <c r="AH35" s="43" t="s">
        <v>685</v>
      </c>
      <c r="AI35" s="43" t="str">
        <f t="shared" si="0"/>
        <v>Col#REF!</v>
      </c>
      <c r="AJ35" s="43" t="e">
        <f t="shared" si="1"/>
        <v>#VALUE!</v>
      </c>
    </row>
    <row r="36" spans="1:36" ht="14.25" customHeight="1" x14ac:dyDescent="0.25">
      <c r="A36" s="38">
        <v>43939</v>
      </c>
      <c r="B36" s="39" t="s">
        <v>311</v>
      </c>
      <c r="C36" s="40">
        <v>840</v>
      </c>
      <c r="D36" s="26"/>
      <c r="E36" s="31"/>
      <c r="F36" s="31"/>
      <c r="G36" s="31" t="s">
        <v>312</v>
      </c>
      <c r="H36" s="39"/>
      <c r="I36" s="40"/>
      <c r="J36" s="31"/>
      <c r="K36" s="31"/>
      <c r="AC36" s="45">
        <v>920</v>
      </c>
      <c r="AD36" s="46" t="s">
        <v>313</v>
      </c>
      <c r="AE36" s="46" t="s">
        <v>307</v>
      </c>
      <c r="AG36" s="43" t="s">
        <v>314</v>
      </c>
      <c r="AH36" s="43" t="s">
        <v>685</v>
      </c>
      <c r="AI36" s="43" t="str">
        <f t="shared" si="0"/>
        <v>Col#REF!</v>
      </c>
      <c r="AJ36" s="43" t="e">
        <f t="shared" si="1"/>
        <v>#VALUE!</v>
      </c>
    </row>
    <row r="37" spans="1:36" ht="14.25" customHeight="1" x14ac:dyDescent="0.25">
      <c r="A37" s="38">
        <v>43940</v>
      </c>
      <c r="B37" s="39" t="s">
        <v>315</v>
      </c>
      <c r="C37" s="40">
        <v>850</v>
      </c>
      <c r="D37" s="26"/>
      <c r="E37" s="31"/>
      <c r="F37" s="31"/>
      <c r="G37" s="31" t="s">
        <v>316</v>
      </c>
      <c r="H37" s="39"/>
      <c r="I37" s="40"/>
      <c r="J37" s="31"/>
      <c r="K37" s="31"/>
      <c r="AC37" s="45">
        <v>481</v>
      </c>
      <c r="AD37" s="46" t="s">
        <v>317</v>
      </c>
      <c r="AE37" s="46" t="s">
        <v>307</v>
      </c>
      <c r="AG37" s="43" t="s">
        <v>318</v>
      </c>
      <c r="AH37" s="43" t="s">
        <v>685</v>
      </c>
      <c r="AI37" s="43" t="str">
        <f t="shared" si="0"/>
        <v>Col#REF!</v>
      </c>
      <c r="AJ37" s="43" t="e">
        <f t="shared" si="1"/>
        <v>#VALUE!</v>
      </c>
    </row>
    <row r="38" spans="1:36" ht="14.25" customHeight="1" x14ac:dyDescent="0.25">
      <c r="A38" s="38">
        <v>43946</v>
      </c>
      <c r="B38" s="39" t="s">
        <v>68</v>
      </c>
      <c r="C38" s="40">
        <v>852</v>
      </c>
      <c r="D38" s="26"/>
      <c r="E38" s="31"/>
      <c r="F38" s="31"/>
      <c r="G38" s="31" t="s">
        <v>319</v>
      </c>
      <c r="H38" s="39"/>
      <c r="I38" s="40"/>
      <c r="J38" s="31"/>
      <c r="K38" s="31"/>
      <c r="AC38" s="45">
        <v>772</v>
      </c>
      <c r="AD38" s="46" t="s">
        <v>320</v>
      </c>
      <c r="AE38" s="46" t="s">
        <v>307</v>
      </c>
      <c r="AG38" s="43" t="s">
        <v>24</v>
      </c>
      <c r="AH38" s="43" t="s">
        <v>685</v>
      </c>
      <c r="AI38" s="43" t="str">
        <f t="shared" si="0"/>
        <v>Col#REF!</v>
      </c>
      <c r="AJ38" s="43" t="e">
        <f t="shared" si="1"/>
        <v>#VALUE!</v>
      </c>
    </row>
    <row r="39" spans="1:36" ht="14.25" customHeight="1" x14ac:dyDescent="0.25">
      <c r="A39" s="38">
        <v>43947</v>
      </c>
      <c r="B39" s="39" t="s">
        <v>321</v>
      </c>
      <c r="C39" s="40">
        <v>870</v>
      </c>
      <c r="D39" s="26"/>
      <c r="E39" s="31"/>
      <c r="F39" s="31"/>
      <c r="G39" s="31" t="s">
        <v>322</v>
      </c>
      <c r="H39" s="39"/>
      <c r="I39" s="40"/>
      <c r="J39" s="31"/>
      <c r="K39" s="31"/>
      <c r="AC39" s="45">
        <v>480</v>
      </c>
      <c r="AD39" s="46" t="s">
        <v>323</v>
      </c>
      <c r="AE39" s="46" t="s">
        <v>307</v>
      </c>
      <c r="AG39" s="43" t="s">
        <v>25</v>
      </c>
      <c r="AH39" s="43" t="s">
        <v>685</v>
      </c>
      <c r="AI39" s="43" t="str">
        <f t="shared" si="0"/>
        <v>Col#REF!</v>
      </c>
      <c r="AJ39" s="43" t="e">
        <f t="shared" si="1"/>
        <v>#VALUE!</v>
      </c>
    </row>
    <row r="40" spans="1:36" ht="14.25" customHeight="1" x14ac:dyDescent="0.25">
      <c r="A40" s="38">
        <v>43953</v>
      </c>
      <c r="B40" s="39" t="s">
        <v>324</v>
      </c>
      <c r="C40" s="40">
        <v>404</v>
      </c>
      <c r="D40" s="26"/>
      <c r="E40" s="31"/>
      <c r="F40" s="31"/>
      <c r="G40" s="31" t="s">
        <v>325</v>
      </c>
      <c r="H40" s="39"/>
      <c r="I40" s="40"/>
      <c r="J40" s="31"/>
      <c r="K40" s="31"/>
      <c r="AC40" s="45">
        <v>470</v>
      </c>
      <c r="AD40" s="46" t="s">
        <v>326</v>
      </c>
      <c r="AE40" s="46" t="s">
        <v>307</v>
      </c>
      <c r="AG40" s="43" t="s">
        <v>26</v>
      </c>
      <c r="AH40" s="43" t="s">
        <v>685</v>
      </c>
      <c r="AI40" s="43" t="str">
        <f t="shared" si="0"/>
        <v>Col#REF!</v>
      </c>
      <c r="AJ40" s="43" t="e">
        <f t="shared" si="1"/>
        <v>#VALUE!</v>
      </c>
    </row>
    <row r="41" spans="1:36" ht="14.25" customHeight="1" x14ac:dyDescent="0.25">
      <c r="A41" s="38">
        <v>43954</v>
      </c>
      <c r="B41" s="39" t="s">
        <v>327</v>
      </c>
      <c r="C41" s="40">
        <v>860</v>
      </c>
      <c r="D41" s="26"/>
      <c r="E41" s="31"/>
      <c r="F41" s="31"/>
      <c r="G41" s="31" t="s">
        <v>328</v>
      </c>
      <c r="H41" s="39"/>
      <c r="I41" s="40"/>
      <c r="J41" s="31"/>
      <c r="K41" s="31"/>
      <c r="AC41" s="45">
        <v>471</v>
      </c>
      <c r="AD41" s="46" t="s">
        <v>329</v>
      </c>
      <c r="AE41" s="46" t="s">
        <v>307</v>
      </c>
      <c r="AG41" s="43" t="s">
        <v>27</v>
      </c>
      <c r="AH41" s="43" t="s">
        <v>685</v>
      </c>
      <c r="AI41" s="43" t="str">
        <f t="shared" si="0"/>
        <v>Col#REF!</v>
      </c>
      <c r="AJ41" s="43" t="e">
        <f t="shared" si="1"/>
        <v>#VALUE!</v>
      </c>
    </row>
    <row r="42" spans="1:36" ht="14.25" customHeight="1" x14ac:dyDescent="0.25">
      <c r="A42" s="38">
        <v>43960</v>
      </c>
      <c r="B42" s="39" t="s">
        <v>330</v>
      </c>
      <c r="C42" s="40">
        <v>862</v>
      </c>
      <c r="D42" s="26"/>
      <c r="E42" s="31"/>
      <c r="F42" s="31"/>
      <c r="G42" s="31" t="s">
        <v>331</v>
      </c>
      <c r="H42" s="39"/>
      <c r="I42" s="40"/>
      <c r="J42" s="31"/>
      <c r="K42" s="31"/>
      <c r="AC42" s="45">
        <v>782</v>
      </c>
      <c r="AD42" s="46" t="s">
        <v>332</v>
      </c>
      <c r="AE42" s="46" t="s">
        <v>307</v>
      </c>
      <c r="AG42" s="43" t="s">
        <v>28</v>
      </c>
      <c r="AH42" s="43" t="s">
        <v>685</v>
      </c>
      <c r="AI42" s="43" t="str">
        <f t="shared" si="0"/>
        <v>Col#REF!</v>
      </c>
      <c r="AJ42" s="43" t="e">
        <f t="shared" si="1"/>
        <v>#VALUE!</v>
      </c>
    </row>
    <row r="43" spans="1:36" ht="14.25" customHeight="1" x14ac:dyDescent="0.25">
      <c r="A43" s="38">
        <v>43961</v>
      </c>
      <c r="B43" s="39" t="s">
        <v>333</v>
      </c>
      <c r="C43" s="40">
        <v>863</v>
      </c>
      <c r="D43" s="26"/>
      <c r="E43" s="31"/>
      <c r="F43" s="31"/>
      <c r="G43" s="31" t="s">
        <v>334</v>
      </c>
      <c r="H43" s="39"/>
      <c r="I43" s="40"/>
      <c r="J43" s="31"/>
      <c r="K43" s="31"/>
      <c r="AC43" s="45">
        <v>771</v>
      </c>
      <c r="AD43" s="46" t="s">
        <v>335</v>
      </c>
      <c r="AE43" s="46" t="s">
        <v>307</v>
      </c>
      <c r="AG43" s="43" t="s">
        <v>29</v>
      </c>
      <c r="AH43" s="43" t="s">
        <v>685</v>
      </c>
      <c r="AI43" s="43" t="str">
        <f t="shared" si="0"/>
        <v>Col#REF!</v>
      </c>
      <c r="AJ43" s="43" t="e">
        <f t="shared" si="1"/>
        <v>#VALUE!</v>
      </c>
    </row>
    <row r="44" spans="1:36" ht="14.25" customHeight="1" x14ac:dyDescent="0.25">
      <c r="A44" s="38">
        <v>43967</v>
      </c>
      <c r="B44" s="39" t="s">
        <v>336</v>
      </c>
      <c r="C44" s="40">
        <v>861</v>
      </c>
      <c r="D44" s="26"/>
      <c r="E44" s="31"/>
      <c r="F44" s="31"/>
      <c r="G44" s="31" t="s">
        <v>337</v>
      </c>
      <c r="H44" s="39"/>
      <c r="I44" s="40"/>
      <c r="J44" s="31"/>
      <c r="K44" s="31"/>
      <c r="AC44" s="45">
        <v>781</v>
      </c>
      <c r="AD44" s="46" t="s">
        <v>338</v>
      </c>
      <c r="AE44" s="46" t="s">
        <v>307</v>
      </c>
      <c r="AG44" s="43" t="s">
        <v>339</v>
      </c>
      <c r="AH44" s="43" t="s">
        <v>685</v>
      </c>
      <c r="AI44" s="43" t="str">
        <f t="shared" si="0"/>
        <v>Col#REF!</v>
      </c>
      <c r="AJ44" s="43" t="e">
        <f t="shared" si="1"/>
        <v>#VALUE!</v>
      </c>
    </row>
    <row r="45" spans="1:36" ht="14.25" customHeight="1" x14ac:dyDescent="0.25">
      <c r="A45" s="38">
        <v>43968</v>
      </c>
      <c r="B45" s="39" t="s">
        <v>340</v>
      </c>
      <c r="C45" s="40">
        <v>851</v>
      </c>
      <c r="D45" s="26"/>
      <c r="E45" s="31"/>
      <c r="F45" s="31"/>
      <c r="G45" s="31" t="s">
        <v>341</v>
      </c>
      <c r="H45" s="39"/>
      <c r="I45" s="40"/>
      <c r="J45" s="31"/>
      <c r="K45" s="31"/>
      <c r="AC45" s="45">
        <v>770</v>
      </c>
      <c r="AD45" s="46" t="s">
        <v>342</v>
      </c>
      <c r="AE45" s="46" t="s">
        <v>307</v>
      </c>
      <c r="AG45" s="43" t="s">
        <v>30</v>
      </c>
      <c r="AH45" s="43" t="s">
        <v>685</v>
      </c>
      <c r="AI45" s="43" t="str">
        <f t="shared" si="0"/>
        <v>Col#REF!</v>
      </c>
      <c r="AJ45" s="43" t="e">
        <f t="shared" si="1"/>
        <v>#VALUE!</v>
      </c>
    </row>
    <row r="46" spans="1:36" ht="14.25" customHeight="1" x14ac:dyDescent="0.25">
      <c r="A46" s="38">
        <v>43974</v>
      </c>
      <c r="B46" s="39" t="s">
        <v>343</v>
      </c>
      <c r="C46" s="40">
        <v>700</v>
      </c>
      <c r="D46" s="26"/>
      <c r="E46" s="31"/>
      <c r="F46" s="31"/>
      <c r="G46" s="31" t="s">
        <v>344</v>
      </c>
      <c r="H46" s="39"/>
      <c r="I46" s="40"/>
      <c r="J46" s="31"/>
      <c r="K46" s="31"/>
      <c r="AC46" s="45">
        <v>780</v>
      </c>
      <c r="AD46" s="46" t="s">
        <v>345</v>
      </c>
      <c r="AE46" s="46" t="s">
        <v>307</v>
      </c>
      <c r="AG46" s="43" t="s">
        <v>31</v>
      </c>
      <c r="AH46" s="43" t="s">
        <v>685</v>
      </c>
      <c r="AI46" s="43" t="str">
        <f t="shared" si="0"/>
        <v>Col#REF!</v>
      </c>
      <c r="AJ46" s="43" t="e">
        <f t="shared" si="1"/>
        <v>#VALUE!</v>
      </c>
    </row>
    <row r="47" spans="1:36" ht="14.25" customHeight="1" x14ac:dyDescent="0.25">
      <c r="A47" s="38">
        <v>43975</v>
      </c>
      <c r="B47" s="39" t="s">
        <v>346</v>
      </c>
      <c r="C47" s="40">
        <v>702</v>
      </c>
      <c r="D47" s="26"/>
      <c r="E47" s="31"/>
      <c r="F47" s="31"/>
      <c r="G47" s="31" t="s">
        <v>347</v>
      </c>
      <c r="H47" s="39"/>
      <c r="I47" s="40"/>
      <c r="J47" s="31"/>
      <c r="K47" s="31"/>
      <c r="AC47" s="45">
        <v>590</v>
      </c>
      <c r="AD47" s="46" t="s">
        <v>348</v>
      </c>
      <c r="AE47" s="46" t="s">
        <v>349</v>
      </c>
      <c r="AG47" s="43" t="s">
        <v>32</v>
      </c>
      <c r="AH47" s="43" t="s">
        <v>685</v>
      </c>
      <c r="AI47" s="43" t="str">
        <f t="shared" si="0"/>
        <v>Col#REF!</v>
      </c>
      <c r="AJ47" s="43" t="e">
        <f t="shared" si="1"/>
        <v>#VALUE!</v>
      </c>
    </row>
    <row r="48" spans="1:36" ht="14.25" customHeight="1" x14ac:dyDescent="0.25">
      <c r="A48" s="38">
        <v>43976</v>
      </c>
      <c r="B48" s="39" t="s">
        <v>350</v>
      </c>
      <c r="C48" s="40">
        <v>703</v>
      </c>
      <c r="D48" s="26"/>
      <c r="E48" s="31"/>
      <c r="F48" s="31"/>
      <c r="G48" s="31" t="s">
        <v>351</v>
      </c>
      <c r="H48" s="39"/>
      <c r="I48" s="40"/>
      <c r="J48" s="31"/>
      <c r="K48" s="31"/>
      <c r="AC48" s="45">
        <v>452</v>
      </c>
      <c r="AD48" s="46" t="s">
        <v>352</v>
      </c>
      <c r="AE48" s="46" t="s">
        <v>349</v>
      </c>
      <c r="AG48" s="43" t="s">
        <v>33</v>
      </c>
      <c r="AH48" s="43" t="s">
        <v>685</v>
      </c>
      <c r="AI48" s="43" t="str">
        <f t="shared" si="0"/>
        <v>Col#REF!</v>
      </c>
      <c r="AJ48" s="43" t="e">
        <f t="shared" si="1"/>
        <v>#VALUE!</v>
      </c>
    </row>
    <row r="49" spans="1:36" ht="14.25" customHeight="1" x14ac:dyDescent="0.25">
      <c r="A49" s="38">
        <v>43981</v>
      </c>
      <c r="B49" s="39" t="s">
        <v>353</v>
      </c>
      <c r="C49" s="40">
        <v>710</v>
      </c>
      <c r="D49" s="26"/>
      <c r="E49" s="31"/>
      <c r="F49" s="31"/>
      <c r="G49" s="31" t="s">
        <v>354</v>
      </c>
      <c r="H49" s="39"/>
      <c r="I49" s="40"/>
      <c r="J49" s="31"/>
      <c r="K49" s="31"/>
      <c r="AC49" s="45">
        <v>592</v>
      </c>
      <c r="AD49" s="46" t="s">
        <v>355</v>
      </c>
      <c r="AE49" s="46" t="s">
        <v>349</v>
      </c>
      <c r="AG49" s="43" t="s">
        <v>34</v>
      </c>
      <c r="AH49" s="43" t="s">
        <v>685</v>
      </c>
      <c r="AI49" s="43" t="str">
        <f t="shared" si="0"/>
        <v>Col#REF!</v>
      </c>
      <c r="AJ49" s="43" t="e">
        <f t="shared" si="1"/>
        <v>#VALUE!</v>
      </c>
    </row>
    <row r="50" spans="1:36" ht="14.25" customHeight="1" x14ac:dyDescent="0.25">
      <c r="A50" s="38">
        <v>43982</v>
      </c>
      <c r="B50" s="39" t="s">
        <v>356</v>
      </c>
      <c r="C50" s="40">
        <v>711</v>
      </c>
      <c r="D50" s="26"/>
      <c r="E50" s="31"/>
      <c r="F50" s="31"/>
      <c r="G50" s="31" t="s">
        <v>357</v>
      </c>
      <c r="H50" s="39"/>
      <c r="I50" s="40"/>
      <c r="J50" s="31"/>
      <c r="K50" s="31"/>
      <c r="AC50" s="45">
        <v>451</v>
      </c>
      <c r="AD50" s="46" t="s">
        <v>358</v>
      </c>
      <c r="AE50" s="46" t="s">
        <v>349</v>
      </c>
      <c r="AG50" s="43" t="s">
        <v>359</v>
      </c>
      <c r="AH50" s="43" t="s">
        <v>685</v>
      </c>
      <c r="AI50" s="43" t="str">
        <f t="shared" si="0"/>
        <v>Col#REF!</v>
      </c>
      <c r="AJ50" s="43" t="e">
        <f t="shared" si="1"/>
        <v>#VALUE!</v>
      </c>
    </row>
    <row r="51" spans="1:36" ht="14.25" customHeight="1" x14ac:dyDescent="0.25">
      <c r="A51" s="38">
        <v>43988</v>
      </c>
      <c r="B51" s="39" t="s">
        <v>360</v>
      </c>
      <c r="C51" s="40">
        <v>701</v>
      </c>
      <c r="D51" s="26"/>
      <c r="E51" s="31"/>
      <c r="F51" s="31"/>
      <c r="G51" s="31" t="s">
        <v>361</v>
      </c>
      <c r="H51" s="39"/>
      <c r="I51" s="40"/>
      <c r="J51" s="31"/>
      <c r="K51" s="31"/>
      <c r="AC51" s="45">
        <v>461</v>
      </c>
      <c r="AD51" s="46" t="s">
        <v>94</v>
      </c>
      <c r="AE51" s="46" t="s">
        <v>349</v>
      </c>
      <c r="AG51" s="43" t="s">
        <v>362</v>
      </c>
      <c r="AH51" s="43" t="s">
        <v>685</v>
      </c>
      <c r="AI51" s="43" t="str">
        <f t="shared" si="0"/>
        <v>Col#REF!</v>
      </c>
      <c r="AJ51" s="43" t="e">
        <f t="shared" si="1"/>
        <v>#VALUE!</v>
      </c>
    </row>
    <row r="52" spans="1:36" ht="14.25" customHeight="1" x14ac:dyDescent="0.25">
      <c r="A52" s="38">
        <v>43989</v>
      </c>
      <c r="B52" s="39" t="s">
        <v>363</v>
      </c>
      <c r="C52" s="40">
        <v>720</v>
      </c>
      <c r="D52" s="26"/>
      <c r="E52" s="31"/>
      <c r="F52" s="31"/>
      <c r="G52" s="31" t="s">
        <v>364</v>
      </c>
      <c r="H52" s="39"/>
      <c r="I52" s="40"/>
      <c r="J52" s="31"/>
      <c r="K52" s="31"/>
      <c r="AC52" s="45">
        <v>591</v>
      </c>
      <c r="AD52" s="46" t="s">
        <v>365</v>
      </c>
      <c r="AE52" s="46" t="s">
        <v>349</v>
      </c>
      <c r="AG52" s="43" t="s">
        <v>366</v>
      </c>
      <c r="AH52" s="43" t="s">
        <v>685</v>
      </c>
      <c r="AI52" s="43" t="str">
        <f t="shared" si="0"/>
        <v>Col#REF!</v>
      </c>
      <c r="AJ52" s="43" t="e">
        <f t="shared" si="1"/>
        <v>#VALUE!</v>
      </c>
    </row>
    <row r="53" spans="1:36" ht="14.25" customHeight="1" x14ac:dyDescent="0.25">
      <c r="A53" s="38">
        <v>43995</v>
      </c>
      <c r="B53" s="39" t="s">
        <v>367</v>
      </c>
      <c r="C53" s="40">
        <v>730</v>
      </c>
      <c r="D53" s="26"/>
      <c r="E53" s="31"/>
      <c r="F53" s="31"/>
      <c r="G53" s="31" t="s">
        <v>368</v>
      </c>
      <c r="H53" s="39"/>
      <c r="I53" s="40"/>
      <c r="J53" s="31"/>
      <c r="K53" s="31"/>
      <c r="AC53" s="45">
        <v>455</v>
      </c>
      <c r="AD53" s="46" t="s">
        <v>369</v>
      </c>
      <c r="AE53" s="46" t="s">
        <v>349</v>
      </c>
      <c r="AG53" s="43" t="s">
        <v>370</v>
      </c>
      <c r="AH53" s="43" t="s">
        <v>685</v>
      </c>
      <c r="AI53" s="43" t="str">
        <f t="shared" si="0"/>
        <v>Col#REF!</v>
      </c>
      <c r="AJ53" s="43" t="e">
        <f t="shared" si="1"/>
        <v>#VALUE!</v>
      </c>
    </row>
    <row r="54" spans="1:36" ht="14.25" customHeight="1" x14ac:dyDescent="0.25">
      <c r="A54" s="38">
        <v>43996</v>
      </c>
      <c r="B54" s="39" t="s">
        <v>371</v>
      </c>
      <c r="C54" s="40">
        <v>732</v>
      </c>
      <c r="D54" s="26"/>
      <c r="E54" s="31"/>
      <c r="F54" s="31"/>
      <c r="G54" s="31" t="s">
        <v>372</v>
      </c>
      <c r="H54" s="39"/>
      <c r="I54" s="40"/>
      <c r="J54" s="31"/>
      <c r="K54" s="31"/>
      <c r="AC54" s="45">
        <v>540</v>
      </c>
      <c r="AD54" s="46" t="s">
        <v>373</v>
      </c>
      <c r="AE54" s="46" t="s">
        <v>349</v>
      </c>
      <c r="AG54" s="43" t="s">
        <v>374</v>
      </c>
      <c r="AH54" s="43" t="s">
        <v>685</v>
      </c>
      <c r="AI54" s="43" t="str">
        <f t="shared" si="0"/>
        <v>Col#REF!</v>
      </c>
      <c r="AJ54" s="43" t="e">
        <f t="shared" si="1"/>
        <v>#VALUE!</v>
      </c>
    </row>
    <row r="55" spans="1:36" ht="14.25" customHeight="1" x14ac:dyDescent="0.25">
      <c r="A55" s="38">
        <v>43997</v>
      </c>
      <c r="B55" s="39" t="s">
        <v>375</v>
      </c>
      <c r="C55" s="40">
        <v>731</v>
      </c>
      <c r="D55" s="26"/>
      <c r="E55" s="31"/>
      <c r="F55" s="31"/>
      <c r="G55" s="31" t="s">
        <v>376</v>
      </c>
      <c r="H55" s="39"/>
      <c r="I55" s="40"/>
      <c r="J55" s="31"/>
      <c r="K55" s="31"/>
      <c r="AC55" s="45">
        <v>600</v>
      </c>
      <c r="AD55" s="46" t="s">
        <v>377</v>
      </c>
      <c r="AE55" s="46" t="s">
        <v>349</v>
      </c>
      <c r="AG55" s="43" t="s">
        <v>378</v>
      </c>
      <c r="AH55" s="43" t="s">
        <v>685</v>
      </c>
      <c r="AI55" s="43" t="str">
        <f t="shared" si="0"/>
        <v>Col#REF!</v>
      </c>
      <c r="AJ55" s="43" t="e">
        <f t="shared" si="1"/>
        <v>#VALUE!</v>
      </c>
    </row>
    <row r="56" spans="1:36" ht="14.25" customHeight="1" x14ac:dyDescent="0.25">
      <c r="A56" s="38">
        <v>44002</v>
      </c>
      <c r="B56" s="39" t="s">
        <v>379</v>
      </c>
      <c r="C56" s="40">
        <v>736</v>
      </c>
      <c r="D56" s="26"/>
      <c r="E56" s="31"/>
      <c r="F56" s="31"/>
      <c r="G56" s="31" t="s">
        <v>380</v>
      </c>
      <c r="H56" s="39"/>
      <c r="I56" s="40"/>
      <c r="J56" s="31"/>
      <c r="K56" s="31"/>
      <c r="AC56" s="45">
        <v>450</v>
      </c>
      <c r="AD56" s="46" t="s">
        <v>381</v>
      </c>
      <c r="AE56" s="46" t="s">
        <v>349</v>
      </c>
      <c r="AG56" s="43" t="s">
        <v>382</v>
      </c>
      <c r="AH56" s="43" t="s">
        <v>685</v>
      </c>
      <c r="AI56" s="43" t="str">
        <f t="shared" si="0"/>
        <v>Col#REF!</v>
      </c>
      <c r="AJ56" s="43" t="e">
        <f t="shared" si="1"/>
        <v>#VALUE!</v>
      </c>
    </row>
    <row r="57" spans="1:36" ht="14.25" customHeight="1" x14ac:dyDescent="0.25">
      <c r="A57" s="38">
        <v>44003</v>
      </c>
      <c r="B57" s="39" t="s">
        <v>383</v>
      </c>
      <c r="C57" s="40">
        <v>721</v>
      </c>
      <c r="D57" s="26"/>
      <c r="E57" s="31"/>
      <c r="F57" s="31"/>
      <c r="G57" s="31" t="s">
        <v>384</v>
      </c>
      <c r="H57" s="39"/>
      <c r="I57" s="40"/>
      <c r="J57" s="31"/>
      <c r="K57" s="31"/>
      <c r="AC57" s="45">
        <v>460</v>
      </c>
      <c r="AD57" s="46" t="s">
        <v>385</v>
      </c>
      <c r="AE57" s="46" t="s">
        <v>349</v>
      </c>
      <c r="AG57" s="43" t="s">
        <v>386</v>
      </c>
      <c r="AH57" s="43" t="s">
        <v>685</v>
      </c>
      <c r="AI57" s="43" t="str">
        <f t="shared" si="0"/>
        <v>Col#REF!</v>
      </c>
      <c r="AJ57" s="43" t="e">
        <f t="shared" si="1"/>
        <v>#VALUE!</v>
      </c>
    </row>
    <row r="58" spans="1:36" ht="14.25" customHeight="1" x14ac:dyDescent="0.25">
      <c r="A58" s="38">
        <v>44004</v>
      </c>
      <c r="B58" s="39" t="s">
        <v>387</v>
      </c>
      <c r="C58" s="40">
        <v>330</v>
      </c>
      <c r="D58" s="26"/>
      <c r="E58" s="31"/>
      <c r="F58" s="31"/>
      <c r="G58" s="31" t="s">
        <v>388</v>
      </c>
      <c r="H58" s="39"/>
      <c r="I58" s="40"/>
      <c r="J58" s="31"/>
      <c r="K58" s="31"/>
      <c r="AC58" s="45">
        <v>210</v>
      </c>
      <c r="AD58" s="46" t="s">
        <v>389</v>
      </c>
      <c r="AE58" s="46" t="s">
        <v>390</v>
      </c>
      <c r="AG58" s="43" t="s">
        <v>391</v>
      </c>
      <c r="AH58" s="43" t="s">
        <v>685</v>
      </c>
      <c r="AI58" s="43" t="str">
        <f t="shared" si="0"/>
        <v>Col#REF!</v>
      </c>
      <c r="AJ58" s="43" t="e">
        <f t="shared" si="1"/>
        <v>#VALUE!</v>
      </c>
    </row>
    <row r="59" spans="1:36" ht="14.25" customHeight="1" x14ac:dyDescent="0.25">
      <c r="A59" s="38">
        <v>44009</v>
      </c>
      <c r="B59" s="39" t="s">
        <v>392</v>
      </c>
      <c r="C59" s="40">
        <v>500</v>
      </c>
      <c r="D59" s="26"/>
      <c r="E59" s="31"/>
      <c r="F59" s="31"/>
      <c r="G59" s="31" t="s">
        <v>393</v>
      </c>
      <c r="H59" s="39"/>
      <c r="I59" s="40"/>
      <c r="J59" s="31"/>
      <c r="K59" s="31"/>
      <c r="AC59" s="45">
        <v>230</v>
      </c>
      <c r="AD59" s="46" t="s">
        <v>394</v>
      </c>
      <c r="AE59" s="46" t="s">
        <v>390</v>
      </c>
      <c r="AG59" s="43" t="s">
        <v>395</v>
      </c>
      <c r="AH59" s="43" t="s">
        <v>685</v>
      </c>
      <c r="AI59" s="43" t="str">
        <f t="shared" si="0"/>
        <v>Col#REF!</v>
      </c>
      <c r="AJ59" s="43" t="e">
        <f t="shared" si="1"/>
        <v>#VALUE!</v>
      </c>
    </row>
    <row r="60" spans="1:36" ht="14.25" customHeight="1" x14ac:dyDescent="0.25">
      <c r="A60" s="38">
        <v>44010</v>
      </c>
      <c r="B60" s="39" t="s">
        <v>396</v>
      </c>
      <c r="C60" s="40">
        <v>503</v>
      </c>
      <c r="D60" s="26"/>
      <c r="E60" s="31"/>
      <c r="F60" s="31"/>
      <c r="G60" s="31" t="s">
        <v>397</v>
      </c>
      <c r="H60" s="39"/>
      <c r="I60" s="40"/>
      <c r="J60" s="31"/>
      <c r="K60" s="31"/>
      <c r="AC60" s="45">
        <v>244</v>
      </c>
      <c r="AD60" s="46" t="s">
        <v>398</v>
      </c>
      <c r="AE60" s="46" t="s">
        <v>390</v>
      </c>
      <c r="AG60" s="43" t="s">
        <v>124</v>
      </c>
      <c r="AH60" s="43" t="s">
        <v>685</v>
      </c>
      <c r="AI60" s="43" t="str">
        <f t="shared" si="0"/>
        <v>Col#REF!</v>
      </c>
      <c r="AJ60" s="43" t="e">
        <f t="shared" si="1"/>
        <v>#VALUE!</v>
      </c>
    </row>
    <row r="61" spans="1:36" ht="14.25" customHeight="1" x14ac:dyDescent="0.25">
      <c r="A61" s="38">
        <v>44011</v>
      </c>
      <c r="B61" s="39" t="s">
        <v>103</v>
      </c>
      <c r="C61" s="40">
        <v>510</v>
      </c>
      <c r="D61" s="26"/>
      <c r="E61" s="31"/>
      <c r="F61" s="31"/>
      <c r="G61" s="31" t="s">
        <v>399</v>
      </c>
      <c r="H61" s="39"/>
      <c r="I61" s="40"/>
      <c r="J61" s="31"/>
      <c r="K61" s="31"/>
      <c r="AC61" s="45">
        <v>255</v>
      </c>
      <c r="AD61" s="46" t="s">
        <v>400</v>
      </c>
      <c r="AE61" s="46" t="s">
        <v>390</v>
      </c>
      <c r="AG61" s="43" t="s">
        <v>401</v>
      </c>
      <c r="AH61" s="43" t="s">
        <v>685</v>
      </c>
      <c r="AI61" s="43" t="str">
        <f t="shared" si="0"/>
        <v>Col#REF!</v>
      </c>
      <c r="AJ61" s="43" t="e">
        <f t="shared" si="1"/>
        <v>#VALUE!</v>
      </c>
    </row>
    <row r="62" spans="1:36" ht="14.25" customHeight="1" x14ac:dyDescent="0.25">
      <c r="A62" s="38">
        <v>44016</v>
      </c>
      <c r="B62" s="39" t="s">
        <v>402</v>
      </c>
      <c r="C62" s="40">
        <v>512</v>
      </c>
      <c r="D62" s="26"/>
      <c r="E62" s="31"/>
      <c r="F62" s="31"/>
      <c r="G62" s="31" t="s">
        <v>403</v>
      </c>
      <c r="H62" s="39"/>
      <c r="I62" s="40"/>
      <c r="J62" s="31"/>
      <c r="K62" s="31"/>
      <c r="AC62" s="45">
        <v>634</v>
      </c>
      <c r="AD62" s="46" t="s">
        <v>404</v>
      </c>
      <c r="AE62" s="46" t="s">
        <v>390</v>
      </c>
      <c r="AG62" s="43" t="s">
        <v>405</v>
      </c>
      <c r="AH62" s="43" t="s">
        <v>685</v>
      </c>
      <c r="AI62" s="43" t="str">
        <f t="shared" si="0"/>
        <v>Col#REF!</v>
      </c>
      <c r="AJ62" s="43" t="e">
        <f t="shared" si="1"/>
        <v>#VALUE!</v>
      </c>
    </row>
    <row r="63" spans="1:36" ht="14.25" customHeight="1" x14ac:dyDescent="0.25">
      <c r="A63" s="38">
        <v>44017</v>
      </c>
      <c r="B63" s="39" t="s">
        <v>406</v>
      </c>
      <c r="C63" s="40">
        <v>530</v>
      </c>
      <c r="D63" s="26"/>
      <c r="E63" s="31"/>
      <c r="F63" s="31"/>
      <c r="G63" s="31" t="s">
        <v>407</v>
      </c>
      <c r="H63" s="39"/>
      <c r="I63" s="40"/>
      <c r="J63" s="31"/>
      <c r="K63" s="31"/>
      <c r="AC63" s="45">
        <v>638</v>
      </c>
      <c r="AD63" s="46" t="s">
        <v>408</v>
      </c>
      <c r="AE63" s="46" t="s">
        <v>390</v>
      </c>
      <c r="AG63" s="43" t="s">
        <v>409</v>
      </c>
      <c r="AH63" s="43" t="s">
        <v>685</v>
      </c>
      <c r="AI63" s="43" t="str">
        <f t="shared" si="0"/>
        <v>Col#REF!</v>
      </c>
      <c r="AJ63" s="43" t="e">
        <f t="shared" si="1"/>
        <v>#VALUE!</v>
      </c>
    </row>
    <row r="64" spans="1:36" ht="14.25" customHeight="1" x14ac:dyDescent="0.25">
      <c r="A64" s="38">
        <v>44023</v>
      </c>
      <c r="B64" s="39" t="s">
        <v>410</v>
      </c>
      <c r="C64" s="40">
        <v>502</v>
      </c>
      <c r="D64" s="26"/>
      <c r="E64" s="31"/>
      <c r="F64" s="31"/>
      <c r="G64" s="31" t="s">
        <v>411</v>
      </c>
      <c r="H64" s="39"/>
      <c r="I64" s="40"/>
      <c r="J64" s="31"/>
      <c r="K64" s="31"/>
      <c r="AC64" s="45">
        <v>232</v>
      </c>
      <c r="AD64" s="46" t="s">
        <v>412</v>
      </c>
      <c r="AE64" s="46" t="s">
        <v>390</v>
      </c>
      <c r="AG64" s="43" t="s">
        <v>413</v>
      </c>
      <c r="AH64" s="43" t="s">
        <v>685</v>
      </c>
      <c r="AI64" s="43" t="str">
        <f t="shared" si="0"/>
        <v>Col#REF!</v>
      </c>
      <c r="AJ64" s="43" t="e">
        <f t="shared" si="1"/>
        <v>#VALUE!</v>
      </c>
    </row>
    <row r="65" spans="1:36" ht="14.25" customHeight="1" x14ac:dyDescent="0.25">
      <c r="A65" s="38">
        <v>44024</v>
      </c>
      <c r="B65" s="39" t="s">
        <v>414</v>
      </c>
      <c r="C65" s="40">
        <v>511</v>
      </c>
      <c r="D65" s="26"/>
      <c r="E65" s="31"/>
      <c r="F65" s="31"/>
      <c r="G65" s="31" t="s">
        <v>415</v>
      </c>
      <c r="H65" s="39"/>
      <c r="I65" s="40"/>
      <c r="J65" s="31"/>
      <c r="K65" s="31"/>
      <c r="AC65" s="45">
        <v>235</v>
      </c>
      <c r="AD65" s="46" t="s">
        <v>416</v>
      </c>
      <c r="AE65" s="46" t="s">
        <v>390</v>
      </c>
      <c r="AG65" s="43" t="s">
        <v>417</v>
      </c>
      <c r="AH65" s="43" t="s">
        <v>685</v>
      </c>
      <c r="AI65" s="43" t="str">
        <f t="shared" si="0"/>
        <v>Col#REF!</v>
      </c>
      <c r="AJ65" s="43" t="e">
        <f t="shared" si="1"/>
        <v>#VALUE!</v>
      </c>
    </row>
    <row r="66" spans="1:36" ht="14.25" customHeight="1" x14ac:dyDescent="0.25">
      <c r="A66" s="38">
        <v>44030</v>
      </c>
      <c r="B66" s="39" t="s">
        <v>418</v>
      </c>
      <c r="C66" s="40">
        <v>501</v>
      </c>
      <c r="D66" s="26"/>
      <c r="E66" s="31"/>
      <c r="F66" s="31"/>
      <c r="G66" s="31" t="s">
        <v>419</v>
      </c>
      <c r="H66" s="39"/>
      <c r="I66" s="40"/>
      <c r="J66" s="31"/>
      <c r="K66" s="31"/>
      <c r="AC66" s="45">
        <v>633</v>
      </c>
      <c r="AD66" s="46" t="s">
        <v>420</v>
      </c>
      <c r="AE66" s="46" t="s">
        <v>390</v>
      </c>
      <c r="AG66" s="43" t="s">
        <v>421</v>
      </c>
      <c r="AH66" s="43" t="s">
        <v>685</v>
      </c>
      <c r="AI66" s="43" t="str">
        <f t="shared" si="0"/>
        <v>Col#REF!</v>
      </c>
      <c r="AJ66" s="43" t="e">
        <f t="shared" si="1"/>
        <v>#VALUE!</v>
      </c>
    </row>
    <row r="67" spans="1:36" ht="14.25" customHeight="1" x14ac:dyDescent="0.25">
      <c r="A67" s="38">
        <v>44031</v>
      </c>
      <c r="B67" s="39" t="s">
        <v>422</v>
      </c>
      <c r="C67" s="40">
        <v>520</v>
      </c>
      <c r="D67" s="26"/>
      <c r="E67" s="31"/>
      <c r="F67" s="31"/>
      <c r="G67" s="31" t="s">
        <v>423</v>
      </c>
      <c r="H67" s="39"/>
      <c r="I67" s="40"/>
      <c r="J67" s="31"/>
      <c r="K67" s="31"/>
      <c r="AC67" s="45">
        <v>231</v>
      </c>
      <c r="AD67" s="46" t="s">
        <v>424</v>
      </c>
      <c r="AE67" s="46" t="s">
        <v>390</v>
      </c>
      <c r="AG67" s="43" t="s">
        <v>425</v>
      </c>
      <c r="AH67" s="43" t="s">
        <v>685</v>
      </c>
      <c r="AI67" s="43" t="str">
        <f t="shared" si="0"/>
        <v>Col#REF!</v>
      </c>
      <c r="AJ67" s="43" t="e">
        <f t="shared" si="1"/>
        <v>#VALUE!</v>
      </c>
    </row>
    <row r="68" spans="1:36" ht="14.25" customHeight="1" x14ac:dyDescent="0.25">
      <c r="A68" s="38">
        <v>44032</v>
      </c>
      <c r="B68" s="39" t="s">
        <v>426</v>
      </c>
      <c r="C68" s="40">
        <v>525</v>
      </c>
      <c r="D68" s="26"/>
      <c r="E68" s="31"/>
      <c r="F68" s="31"/>
      <c r="G68" s="31" t="s">
        <v>427</v>
      </c>
      <c r="H68" s="39"/>
      <c r="I68" s="40"/>
      <c r="J68" s="31"/>
      <c r="K68" s="31"/>
      <c r="AC68" s="45">
        <v>252</v>
      </c>
      <c r="AD68" s="46" t="s">
        <v>428</v>
      </c>
      <c r="AE68" s="46" t="s">
        <v>390</v>
      </c>
      <c r="AG68" s="43" t="s">
        <v>429</v>
      </c>
      <c r="AH68" s="43" t="s">
        <v>685</v>
      </c>
      <c r="AI68" s="43" t="str">
        <f t="shared" si="0"/>
        <v>Col#REF!</v>
      </c>
      <c r="AJ68" s="43" t="e">
        <f t="shared" si="1"/>
        <v>#VALUE!</v>
      </c>
    </row>
    <row r="69" spans="1:36" ht="14.25" customHeight="1" x14ac:dyDescent="0.25">
      <c r="A69" s="38">
        <v>44037</v>
      </c>
      <c r="B69" s="39" t="s">
        <v>430</v>
      </c>
      <c r="C69" s="40">
        <v>522</v>
      </c>
      <c r="D69" s="26"/>
      <c r="E69" s="31"/>
      <c r="F69" s="31"/>
      <c r="G69" s="31" t="s">
        <v>431</v>
      </c>
      <c r="H69" s="39"/>
      <c r="I69" s="40"/>
      <c r="J69" s="31"/>
      <c r="K69" s="31"/>
      <c r="AC69" s="45">
        <v>212</v>
      </c>
      <c r="AD69" s="46" t="s">
        <v>432</v>
      </c>
      <c r="AE69" s="46" t="s">
        <v>390</v>
      </c>
      <c r="AG69" s="43" t="s">
        <v>433</v>
      </c>
      <c r="AH69" s="43" t="s">
        <v>685</v>
      </c>
      <c r="AI69" s="43" t="str">
        <f t="shared" si="0"/>
        <v>Col#REF!</v>
      </c>
      <c r="AJ69" s="43" t="e">
        <f t="shared" si="1"/>
        <v>#VALUE!</v>
      </c>
    </row>
    <row r="70" spans="1:36" ht="14.25" customHeight="1" x14ac:dyDescent="0.25">
      <c r="A70" s="38">
        <v>44038</v>
      </c>
      <c r="B70" s="39" t="s">
        <v>434</v>
      </c>
      <c r="C70" s="40">
        <v>521</v>
      </c>
      <c r="D70" s="26"/>
      <c r="E70" s="31"/>
      <c r="F70" s="31"/>
      <c r="G70" s="31" t="s">
        <v>435</v>
      </c>
      <c r="H70" s="39"/>
      <c r="I70" s="40"/>
      <c r="J70" s="31"/>
      <c r="K70" s="31"/>
      <c r="AC70" s="45">
        <v>214</v>
      </c>
      <c r="AD70" s="46" t="s">
        <v>436</v>
      </c>
      <c r="AE70" s="46" t="s">
        <v>390</v>
      </c>
      <c r="AG70" s="43" t="s">
        <v>437</v>
      </c>
      <c r="AH70" s="43" t="s">
        <v>685</v>
      </c>
      <c r="AI70" s="43" t="str">
        <f t="shared" si="0"/>
        <v>Col#REF!</v>
      </c>
      <c r="AJ70" s="43" t="e">
        <f t="shared" si="1"/>
        <v>#VALUE!</v>
      </c>
    </row>
    <row r="71" spans="1:36" ht="14.25" customHeight="1" x14ac:dyDescent="0.25">
      <c r="A71" s="38">
        <v>44044</v>
      </c>
      <c r="B71" s="39" t="s">
        <v>59</v>
      </c>
      <c r="C71" s="40">
        <v>790</v>
      </c>
      <c r="D71" s="26"/>
      <c r="E71" s="31"/>
      <c r="F71" s="31"/>
      <c r="G71" s="31" t="s">
        <v>438</v>
      </c>
      <c r="H71" s="39"/>
      <c r="I71" s="40"/>
      <c r="J71" s="31"/>
      <c r="K71" s="31"/>
      <c r="AC71" s="45">
        <v>233</v>
      </c>
      <c r="AD71" s="46" t="s">
        <v>439</v>
      </c>
      <c r="AE71" s="46" t="s">
        <v>390</v>
      </c>
      <c r="AG71" s="43" t="s">
        <v>440</v>
      </c>
      <c r="AH71" s="43" t="s">
        <v>685</v>
      </c>
      <c r="AI71" s="43" t="str">
        <f t="shared" si="0"/>
        <v>Col#REF!</v>
      </c>
      <c r="AJ71" s="43" t="e">
        <f t="shared" si="1"/>
        <v>#VALUE!</v>
      </c>
    </row>
    <row r="72" spans="1:36" ht="14.25" customHeight="1" x14ac:dyDescent="0.25">
      <c r="A72" s="38">
        <v>44045</v>
      </c>
      <c r="B72" s="39" t="s">
        <v>441</v>
      </c>
      <c r="C72" s="40">
        <v>795</v>
      </c>
      <c r="D72" s="26"/>
      <c r="E72" s="31"/>
      <c r="F72" s="31"/>
      <c r="G72" s="31" t="s">
        <v>442</v>
      </c>
      <c r="H72" s="39"/>
      <c r="I72" s="40"/>
      <c r="J72" s="31"/>
      <c r="K72" s="31"/>
      <c r="AC72" s="45">
        <v>635</v>
      </c>
      <c r="AD72" s="46" t="s">
        <v>443</v>
      </c>
      <c r="AE72" s="46" t="s">
        <v>390</v>
      </c>
      <c r="AG72" s="43" t="s">
        <v>444</v>
      </c>
      <c r="AH72" s="43" t="s">
        <v>685</v>
      </c>
      <c r="AI72" s="43" t="str">
        <f t="shared" si="0"/>
        <v>Col#REF!</v>
      </c>
      <c r="AJ72" s="43" t="e">
        <f t="shared" si="1"/>
        <v>#VALUE!</v>
      </c>
    </row>
    <row r="73" spans="1:36" ht="14.25" customHeight="1" x14ac:dyDescent="0.25">
      <c r="A73" s="38">
        <v>44051</v>
      </c>
      <c r="B73" s="39" t="s">
        <v>445</v>
      </c>
      <c r="C73" s="40">
        <v>800</v>
      </c>
      <c r="D73" s="26"/>
      <c r="E73" s="31"/>
      <c r="F73" s="31"/>
      <c r="G73" s="31" t="s">
        <v>446</v>
      </c>
      <c r="H73" s="39"/>
      <c r="I73" s="40"/>
      <c r="J73" s="31"/>
      <c r="K73" s="31"/>
      <c r="AC73" s="45">
        <v>211</v>
      </c>
      <c r="AD73" s="46" t="s">
        <v>447</v>
      </c>
      <c r="AE73" s="46" t="s">
        <v>390</v>
      </c>
      <c r="AG73" s="43" t="s">
        <v>448</v>
      </c>
      <c r="AH73" s="43" t="s">
        <v>685</v>
      </c>
      <c r="AI73" s="43" t="str">
        <f t="shared" si="0"/>
        <v>Col#REF!</v>
      </c>
      <c r="AJ73" s="43" t="e">
        <f t="shared" si="1"/>
        <v>#VALUE!</v>
      </c>
    </row>
    <row r="74" spans="1:36" ht="14.25" customHeight="1" x14ac:dyDescent="0.25">
      <c r="A74" s="38">
        <v>44052</v>
      </c>
      <c r="B74" s="39" t="s">
        <v>449</v>
      </c>
      <c r="C74" s="40">
        <v>802</v>
      </c>
      <c r="D74" s="26"/>
      <c r="E74" s="31"/>
      <c r="F74" s="31"/>
      <c r="G74" s="31" t="s">
        <v>450</v>
      </c>
      <c r="H74" s="39"/>
      <c r="I74" s="40"/>
      <c r="J74" s="31"/>
      <c r="K74" s="31"/>
      <c r="AC74" s="45">
        <v>639</v>
      </c>
      <c r="AD74" s="46" t="s">
        <v>451</v>
      </c>
      <c r="AE74" s="46" t="s">
        <v>390</v>
      </c>
      <c r="AG74" s="43" t="s">
        <v>452</v>
      </c>
      <c r="AH74" s="43" t="s">
        <v>685</v>
      </c>
      <c r="AI74" s="43" t="str">
        <f t="shared" si="0"/>
        <v>Col#REF!</v>
      </c>
      <c r="AJ74" s="43" t="e">
        <f t="shared" si="1"/>
        <v>#VALUE!</v>
      </c>
    </row>
    <row r="75" spans="1:36" ht="14.25" customHeight="1" x14ac:dyDescent="0.25">
      <c r="A75" s="38">
        <v>44058</v>
      </c>
      <c r="B75" s="39" t="s">
        <v>453</v>
      </c>
      <c r="C75" s="40">
        <v>810</v>
      </c>
      <c r="D75" s="26"/>
      <c r="E75" s="31"/>
      <c r="F75" s="31"/>
      <c r="G75" s="31" t="s">
        <v>454</v>
      </c>
      <c r="H75" s="39"/>
      <c r="I75" s="40"/>
      <c r="J75" s="31"/>
      <c r="K75" s="31"/>
      <c r="AC75" s="45">
        <v>213</v>
      </c>
      <c r="AD75" s="46" t="s">
        <v>455</v>
      </c>
      <c r="AE75" s="46" t="s">
        <v>390</v>
      </c>
      <c r="AG75" s="43" t="s">
        <v>456</v>
      </c>
      <c r="AH75" s="43" t="s">
        <v>685</v>
      </c>
      <c r="AI75" s="43" t="str">
        <f t="shared" si="0"/>
        <v>Col#REF!</v>
      </c>
      <c r="AJ75" s="43" t="e">
        <f t="shared" si="1"/>
        <v>#VALUE!</v>
      </c>
    </row>
    <row r="76" spans="1:36" ht="14.25" customHeight="1" x14ac:dyDescent="0.25">
      <c r="A76" s="38">
        <v>44059</v>
      </c>
      <c r="B76" s="39" t="s">
        <v>457</v>
      </c>
      <c r="C76" s="40">
        <v>814</v>
      </c>
      <c r="D76" s="26"/>
      <c r="E76" s="31"/>
      <c r="F76" s="31"/>
      <c r="G76" s="31" t="s">
        <v>458</v>
      </c>
      <c r="H76" s="39"/>
      <c r="I76" s="40"/>
      <c r="J76" s="31"/>
      <c r="K76" s="31"/>
      <c r="AC76" s="45">
        <v>220</v>
      </c>
      <c r="AD76" s="46" t="s">
        <v>459</v>
      </c>
      <c r="AE76" s="46" t="s">
        <v>460</v>
      </c>
      <c r="AG76" s="43" t="s">
        <v>461</v>
      </c>
      <c r="AH76" s="43" t="s">
        <v>685</v>
      </c>
      <c r="AI76" s="43" t="str">
        <f t="shared" si="0"/>
        <v>Col#REF!</v>
      </c>
      <c r="AJ76" s="43" t="e">
        <f t="shared" si="1"/>
        <v>#VALUE!</v>
      </c>
    </row>
    <row r="77" spans="1:36" ht="14.25" customHeight="1" x14ac:dyDescent="0.25">
      <c r="A77" s="38">
        <v>44060</v>
      </c>
      <c r="B77" s="39" t="s">
        <v>462</v>
      </c>
      <c r="C77" s="40">
        <v>792</v>
      </c>
      <c r="D77" s="26"/>
      <c r="E77" s="31"/>
      <c r="F77" s="31"/>
      <c r="G77" s="31" t="s">
        <v>463</v>
      </c>
      <c r="H77" s="39"/>
      <c r="I77" s="40"/>
      <c r="J77" s="31"/>
      <c r="K77" s="31"/>
      <c r="AC77" s="45">
        <v>240</v>
      </c>
      <c r="AD77" s="46" t="s">
        <v>464</v>
      </c>
      <c r="AE77" s="46" t="s">
        <v>460</v>
      </c>
      <c r="AG77" s="43" t="s">
        <v>465</v>
      </c>
      <c r="AH77" s="43" t="s">
        <v>685</v>
      </c>
      <c r="AI77" s="43" t="str">
        <f t="shared" si="0"/>
        <v>Col#REF!</v>
      </c>
      <c r="AJ77" s="43" t="e">
        <f t="shared" si="1"/>
        <v>#VALUE!</v>
      </c>
    </row>
    <row r="78" spans="1:36" ht="14.25" customHeight="1" x14ac:dyDescent="0.25">
      <c r="A78" s="38">
        <v>44065</v>
      </c>
      <c r="B78" s="39" t="s">
        <v>466</v>
      </c>
      <c r="C78" s="40">
        <v>791</v>
      </c>
      <c r="D78" s="26"/>
      <c r="E78" s="31"/>
      <c r="F78" s="31"/>
      <c r="G78" s="31" t="s">
        <v>467</v>
      </c>
      <c r="H78" s="39"/>
      <c r="I78" s="40"/>
      <c r="J78" s="31"/>
      <c r="K78" s="31"/>
      <c r="AC78" s="45">
        <v>225</v>
      </c>
      <c r="AD78" s="46" t="s">
        <v>468</v>
      </c>
      <c r="AE78" s="46" t="s">
        <v>460</v>
      </c>
      <c r="AG78" s="43" t="s">
        <v>469</v>
      </c>
      <c r="AH78" s="43" t="s">
        <v>685</v>
      </c>
      <c r="AI78" s="43" t="str">
        <f t="shared" si="0"/>
        <v>Col#REF!</v>
      </c>
      <c r="AJ78" s="43" t="e">
        <f t="shared" si="1"/>
        <v>#VALUE!</v>
      </c>
    </row>
    <row r="79" spans="1:36" ht="14.25" customHeight="1" x14ac:dyDescent="0.25">
      <c r="A79" s="38">
        <v>44066</v>
      </c>
      <c r="B79" s="39" t="s">
        <v>99</v>
      </c>
      <c r="C79" s="40">
        <v>811</v>
      </c>
      <c r="D79" s="26"/>
      <c r="E79" s="31"/>
      <c r="F79" s="31"/>
      <c r="G79" s="31" t="s">
        <v>470</v>
      </c>
      <c r="H79" s="39"/>
      <c r="I79" s="40"/>
      <c r="J79" s="31"/>
      <c r="K79" s="31"/>
      <c r="AC79" s="45">
        <v>242</v>
      </c>
      <c r="AD79" s="46" t="s">
        <v>471</v>
      </c>
      <c r="AE79" s="46" t="s">
        <v>460</v>
      </c>
      <c r="AG79" s="43" t="s">
        <v>472</v>
      </c>
      <c r="AH79" s="43" t="s">
        <v>685</v>
      </c>
      <c r="AI79" s="43" t="str">
        <f t="shared" si="0"/>
        <v>Col#REF!</v>
      </c>
      <c r="AJ79" s="43" t="e">
        <f t="shared" si="1"/>
        <v>#VALUE!</v>
      </c>
    </row>
    <row r="80" spans="1:36" ht="14.25" customHeight="1" x14ac:dyDescent="0.25">
      <c r="A80" s="38">
        <v>44072</v>
      </c>
      <c r="B80" s="39" t="s">
        <v>473</v>
      </c>
      <c r="C80" s="40">
        <v>801</v>
      </c>
      <c r="D80" s="26"/>
      <c r="E80" s="31"/>
      <c r="F80" s="31"/>
      <c r="G80" s="31" t="s">
        <v>474</v>
      </c>
      <c r="H80" s="39"/>
      <c r="I80" s="40"/>
      <c r="J80" s="31"/>
      <c r="K80" s="31"/>
      <c r="AC80" s="45">
        <v>221</v>
      </c>
      <c r="AD80" s="46" t="s">
        <v>475</v>
      </c>
      <c r="AE80" s="46" t="s">
        <v>460</v>
      </c>
      <c r="AG80" s="43" t="s">
        <v>476</v>
      </c>
      <c r="AH80" s="43" t="s">
        <v>685</v>
      </c>
      <c r="AI80" s="43" t="str">
        <f t="shared" si="0"/>
        <v>Col#REF!</v>
      </c>
      <c r="AJ80" s="43" t="e">
        <f t="shared" si="1"/>
        <v>#VALUE!</v>
      </c>
    </row>
    <row r="81" spans="1:33" ht="14.25" customHeight="1" x14ac:dyDescent="0.25">
      <c r="A81" s="38">
        <v>44073</v>
      </c>
      <c r="B81" s="39" t="s">
        <v>477</v>
      </c>
      <c r="C81" s="40">
        <v>815</v>
      </c>
      <c r="D81" s="26"/>
      <c r="E81" s="31"/>
      <c r="F81" s="31"/>
      <c r="G81" s="31" t="s">
        <v>478</v>
      </c>
      <c r="H81" s="39"/>
      <c r="I81" s="40"/>
      <c r="J81" s="31"/>
      <c r="K81" s="31"/>
      <c r="AC81" s="45">
        <v>632</v>
      </c>
      <c r="AD81" s="46" t="s">
        <v>479</v>
      </c>
      <c r="AE81" s="46" t="s">
        <v>460</v>
      </c>
      <c r="AG81" s="19"/>
    </row>
    <row r="82" spans="1:33" ht="14.25" customHeight="1" x14ac:dyDescent="0.25">
      <c r="A82" s="38">
        <v>44079</v>
      </c>
      <c r="B82" s="39" t="s">
        <v>480</v>
      </c>
      <c r="C82" s="40">
        <v>812</v>
      </c>
      <c r="D82" s="26"/>
      <c r="E82" s="31"/>
      <c r="F82" s="31"/>
      <c r="G82" s="31" t="s">
        <v>481</v>
      </c>
      <c r="H82" s="39"/>
      <c r="I82" s="40"/>
      <c r="J82" s="31"/>
      <c r="K82" s="31"/>
      <c r="AC82" s="45">
        <v>245</v>
      </c>
      <c r="AD82" s="46" t="s">
        <v>482</v>
      </c>
      <c r="AE82" s="46" t="s">
        <v>460</v>
      </c>
      <c r="AG82" s="19"/>
    </row>
    <row r="83" spans="1:33" ht="14.25" customHeight="1" x14ac:dyDescent="0.25">
      <c r="A83" s="38">
        <v>44080</v>
      </c>
      <c r="B83" s="39" t="s">
        <v>483</v>
      </c>
      <c r="C83" s="40">
        <v>813</v>
      </c>
      <c r="D83" s="26"/>
      <c r="E83" s="31"/>
      <c r="F83" s="31"/>
      <c r="G83" s="31" t="s">
        <v>484</v>
      </c>
      <c r="H83" s="39"/>
      <c r="I83" s="40"/>
      <c r="J83" s="31"/>
      <c r="K83" s="31"/>
      <c r="AC83" s="45">
        <v>748</v>
      </c>
      <c r="AD83" s="46" t="s">
        <v>485</v>
      </c>
      <c r="AE83" s="46" t="s">
        <v>460</v>
      </c>
      <c r="AG83" s="19"/>
    </row>
    <row r="84" spans="1:33" ht="14.25" customHeight="1" x14ac:dyDescent="0.25">
      <c r="A84" s="38">
        <v>44086</v>
      </c>
      <c r="B84" s="39" t="s">
        <v>486</v>
      </c>
      <c r="C84" s="40">
        <v>223</v>
      </c>
      <c r="D84" s="26"/>
      <c r="E84" s="31"/>
      <c r="F84" s="31"/>
      <c r="G84" s="31" t="s">
        <v>487</v>
      </c>
      <c r="H84" s="39"/>
      <c r="I84" s="40"/>
      <c r="J84" s="31"/>
      <c r="K84" s="31"/>
      <c r="AC84" s="45">
        <v>246</v>
      </c>
      <c r="AD84" s="46" t="s">
        <v>488</v>
      </c>
      <c r="AE84" s="46" t="s">
        <v>460</v>
      </c>
      <c r="AG84" s="19"/>
    </row>
    <row r="85" spans="1:33" ht="14.25" customHeight="1" x14ac:dyDescent="0.25">
      <c r="A85" s="38">
        <v>44087</v>
      </c>
      <c r="B85" s="39" t="s">
        <v>489</v>
      </c>
      <c r="C85" s="40">
        <v>250</v>
      </c>
      <c r="D85" s="26"/>
      <c r="E85" s="31"/>
      <c r="F85" s="31"/>
      <c r="G85" s="31" t="s">
        <v>490</v>
      </c>
      <c r="H85" s="39"/>
      <c r="I85" s="40"/>
      <c r="J85" s="31"/>
      <c r="K85" s="31"/>
      <c r="AC85" s="45">
        <v>226</v>
      </c>
      <c r="AD85" s="46" t="s">
        <v>491</v>
      </c>
      <c r="AE85" s="46" t="s">
        <v>460</v>
      </c>
      <c r="AG85" s="19"/>
    </row>
    <row r="86" spans="1:33" ht="14.25" customHeight="1" x14ac:dyDescent="0.25">
      <c r="A86" s="38">
        <v>44093</v>
      </c>
      <c r="B86" s="39" t="s">
        <v>389</v>
      </c>
      <c r="C86" s="40">
        <v>210</v>
      </c>
      <c r="D86" s="26"/>
      <c r="E86" s="31"/>
      <c r="F86" s="31"/>
      <c r="G86" s="31" t="s">
        <v>492</v>
      </c>
      <c r="H86" s="39"/>
      <c r="I86" s="40"/>
      <c r="J86" s="31"/>
      <c r="K86" s="31"/>
      <c r="AC86" s="45">
        <v>241</v>
      </c>
      <c r="AD86" s="46" t="s">
        <v>493</v>
      </c>
      <c r="AE86" s="46" t="s">
        <v>460</v>
      </c>
      <c r="AG86" s="19"/>
    </row>
    <row r="87" spans="1:33" ht="14.25" customHeight="1" x14ac:dyDescent="0.25">
      <c r="A87" s="38">
        <v>44094</v>
      </c>
      <c r="B87" s="39" t="s">
        <v>432</v>
      </c>
      <c r="C87" s="40">
        <v>212</v>
      </c>
      <c r="D87" s="26"/>
      <c r="E87" s="31"/>
      <c r="F87" s="31"/>
      <c r="G87" s="31" t="s">
        <v>494</v>
      </c>
      <c r="H87" s="39"/>
      <c r="I87" s="40"/>
      <c r="J87" s="31"/>
      <c r="K87" s="31"/>
      <c r="AC87" s="45">
        <v>222</v>
      </c>
      <c r="AD87" s="46" t="s">
        <v>495</v>
      </c>
      <c r="AE87" s="46" t="s">
        <v>460</v>
      </c>
      <c r="AG87" s="19"/>
    </row>
    <row r="88" spans="1:33" ht="14.25" customHeight="1" x14ac:dyDescent="0.25">
      <c r="A88" s="38">
        <v>44100</v>
      </c>
      <c r="B88" s="39" t="s">
        <v>447</v>
      </c>
      <c r="C88" s="40">
        <v>211</v>
      </c>
      <c r="D88" s="26"/>
      <c r="E88" s="31"/>
      <c r="F88" s="31"/>
      <c r="G88" s="31" t="s">
        <v>496</v>
      </c>
      <c r="H88" s="39"/>
      <c r="I88" s="40"/>
      <c r="J88" s="31"/>
      <c r="K88" s="31"/>
      <c r="AC88" s="45">
        <v>219</v>
      </c>
      <c r="AD88" s="46" t="s">
        <v>497</v>
      </c>
      <c r="AE88" s="46" t="s">
        <v>460</v>
      </c>
      <c r="AG88" s="19"/>
    </row>
    <row r="89" spans="1:33" ht="14.25" customHeight="1" x14ac:dyDescent="0.25">
      <c r="A89" s="38">
        <v>44101</v>
      </c>
      <c r="B89" s="39" t="s">
        <v>416</v>
      </c>
      <c r="C89" s="40">
        <v>235</v>
      </c>
      <c r="D89" s="26"/>
      <c r="E89" s="31"/>
      <c r="F89" s="31"/>
      <c r="G89" s="31" t="s">
        <v>498</v>
      </c>
      <c r="H89" s="39"/>
      <c r="I89" s="40"/>
      <c r="J89" s="31"/>
      <c r="K89" s="31"/>
      <c r="AC89" s="45">
        <v>700</v>
      </c>
      <c r="AD89" s="46" t="s">
        <v>343</v>
      </c>
      <c r="AE89" s="46" t="s">
        <v>499</v>
      </c>
      <c r="AG89" s="19"/>
    </row>
    <row r="90" spans="1:33" ht="14.25" customHeight="1" x14ac:dyDescent="0.25">
      <c r="A90" s="38">
        <v>44107</v>
      </c>
      <c r="B90" s="39" t="s">
        <v>455</v>
      </c>
      <c r="C90" s="40">
        <v>213</v>
      </c>
      <c r="D90" s="26"/>
      <c r="E90" s="31"/>
      <c r="F90" s="31"/>
      <c r="G90" s="31" t="s">
        <v>500</v>
      </c>
      <c r="H90" s="39"/>
      <c r="I90" s="40"/>
      <c r="J90" s="31"/>
      <c r="K90" s="31"/>
      <c r="AC90" s="45">
        <v>731</v>
      </c>
      <c r="AD90" s="46" t="s">
        <v>375</v>
      </c>
      <c r="AE90" s="46" t="s">
        <v>499</v>
      </c>
      <c r="AG90" s="19"/>
    </row>
    <row r="91" spans="1:33" ht="14.25" customHeight="1" x14ac:dyDescent="0.25">
      <c r="A91" s="38">
        <v>44108</v>
      </c>
      <c r="B91" s="39" t="s">
        <v>436</v>
      </c>
      <c r="C91" s="40">
        <v>214</v>
      </c>
      <c r="D91" s="26"/>
      <c r="E91" s="31"/>
      <c r="F91" s="31"/>
      <c r="G91" s="31" t="s">
        <v>501</v>
      </c>
      <c r="H91" s="39"/>
      <c r="I91" s="40"/>
      <c r="J91" s="31"/>
      <c r="K91" s="31"/>
      <c r="AC91" s="45">
        <v>736</v>
      </c>
      <c r="AD91" s="46" t="s">
        <v>379</v>
      </c>
      <c r="AE91" s="46" t="s">
        <v>499</v>
      </c>
      <c r="AG91" s="19"/>
    </row>
    <row r="92" spans="1:33" ht="14.25" customHeight="1" x14ac:dyDescent="0.25">
      <c r="A92" s="38">
        <v>44114</v>
      </c>
      <c r="B92" s="39" t="s">
        <v>394</v>
      </c>
      <c r="C92" s="40">
        <v>230</v>
      </c>
      <c r="D92" s="26"/>
      <c r="E92" s="31"/>
      <c r="F92" s="31"/>
      <c r="G92" s="31" t="s">
        <v>502</v>
      </c>
      <c r="H92" s="39"/>
      <c r="I92" s="40"/>
      <c r="J92" s="31"/>
      <c r="K92" s="31"/>
      <c r="AC92" s="45">
        <v>732</v>
      </c>
      <c r="AD92" s="46" t="s">
        <v>371</v>
      </c>
      <c r="AE92" s="46" t="s">
        <v>499</v>
      </c>
      <c r="AG92" s="19"/>
    </row>
    <row r="93" spans="1:33" ht="14.25" customHeight="1" x14ac:dyDescent="0.25">
      <c r="A93" s="38">
        <v>44115</v>
      </c>
      <c r="B93" s="39" t="s">
        <v>424</v>
      </c>
      <c r="C93" s="40">
        <v>231</v>
      </c>
      <c r="D93" s="26"/>
      <c r="E93" s="31"/>
      <c r="F93" s="31"/>
      <c r="G93" s="31" t="s">
        <v>503</v>
      </c>
      <c r="H93" s="39"/>
      <c r="I93" s="40"/>
      <c r="J93" s="31"/>
      <c r="K93" s="31"/>
      <c r="AC93" s="45">
        <v>703</v>
      </c>
      <c r="AD93" s="46" t="s">
        <v>350</v>
      </c>
      <c r="AE93" s="46" t="s">
        <v>499</v>
      </c>
      <c r="AG93" s="19"/>
    </row>
    <row r="94" spans="1:33" ht="14.25" customHeight="1" x14ac:dyDescent="0.25">
      <c r="A94" s="38">
        <v>44116</v>
      </c>
      <c r="B94" s="39" t="s">
        <v>412</v>
      </c>
      <c r="C94" s="40">
        <v>232</v>
      </c>
      <c r="D94" s="26"/>
      <c r="E94" s="31"/>
      <c r="F94" s="31"/>
      <c r="G94" s="31" t="s">
        <v>504</v>
      </c>
      <c r="H94" s="39"/>
      <c r="I94" s="40"/>
      <c r="J94" s="31"/>
      <c r="K94" s="31"/>
      <c r="AC94" s="45">
        <v>701</v>
      </c>
      <c r="AD94" s="46" t="s">
        <v>360</v>
      </c>
      <c r="AE94" s="46" t="s">
        <v>499</v>
      </c>
      <c r="AG94" s="19"/>
    </row>
    <row r="95" spans="1:33" ht="14.25" customHeight="1" x14ac:dyDescent="0.25">
      <c r="A95" s="38">
        <v>44121</v>
      </c>
      <c r="B95" s="39" t="s">
        <v>428</v>
      </c>
      <c r="C95" s="40">
        <v>252</v>
      </c>
      <c r="D95" s="26"/>
      <c r="E95" s="31"/>
      <c r="F95" s="31"/>
      <c r="G95" s="31" t="s">
        <v>505</v>
      </c>
      <c r="H95" s="39"/>
      <c r="I95" s="40"/>
      <c r="J95" s="31"/>
      <c r="K95" s="31"/>
      <c r="AC95" s="45">
        <v>702</v>
      </c>
      <c r="AD95" s="46" t="s">
        <v>346</v>
      </c>
      <c r="AE95" s="46" t="s">
        <v>499</v>
      </c>
      <c r="AG95" s="19"/>
    </row>
    <row r="96" spans="1:33" ht="14.25" customHeight="1" x14ac:dyDescent="0.25">
      <c r="A96" s="38">
        <v>44122</v>
      </c>
      <c r="B96" s="39" t="s">
        <v>404</v>
      </c>
      <c r="C96" s="40">
        <v>634</v>
      </c>
      <c r="D96" s="26"/>
      <c r="E96" s="31"/>
      <c r="F96" s="31"/>
      <c r="G96" s="31" t="s">
        <v>506</v>
      </c>
      <c r="H96" s="39"/>
      <c r="I96" s="40"/>
      <c r="J96" s="31"/>
      <c r="K96" s="31"/>
      <c r="AC96" s="45">
        <v>733</v>
      </c>
      <c r="AD96" s="46" t="s">
        <v>507</v>
      </c>
      <c r="AE96" s="46" t="s">
        <v>499</v>
      </c>
      <c r="AG96" s="19"/>
    </row>
    <row r="97" spans="1:33" ht="14.25" customHeight="1" x14ac:dyDescent="0.25">
      <c r="A97" s="38">
        <v>44128</v>
      </c>
      <c r="B97" s="39" t="s">
        <v>508</v>
      </c>
      <c r="C97" s="40">
        <v>255</v>
      </c>
      <c r="D97" s="26"/>
      <c r="E97" s="31"/>
      <c r="F97" s="31"/>
      <c r="G97" s="31" t="s">
        <v>509</v>
      </c>
      <c r="H97" s="39"/>
      <c r="I97" s="40"/>
      <c r="J97" s="31"/>
      <c r="K97" s="31"/>
      <c r="AC97" s="45">
        <v>721</v>
      </c>
      <c r="AD97" s="46" t="s">
        <v>383</v>
      </c>
      <c r="AE97" s="46" t="s">
        <v>499</v>
      </c>
      <c r="AG97" s="19"/>
    </row>
    <row r="98" spans="1:33" ht="14.25" customHeight="1" x14ac:dyDescent="0.25">
      <c r="A98" s="38">
        <v>44129</v>
      </c>
      <c r="B98" s="39" t="s">
        <v>443</v>
      </c>
      <c r="C98" s="40">
        <v>635</v>
      </c>
      <c r="D98" s="26"/>
      <c r="E98" s="31"/>
      <c r="F98" s="31"/>
      <c r="G98" s="31" t="s">
        <v>510</v>
      </c>
      <c r="H98" s="39"/>
      <c r="I98" s="40"/>
      <c r="J98" s="31"/>
      <c r="K98" s="31"/>
      <c r="AC98" s="45">
        <v>711</v>
      </c>
      <c r="AD98" s="46" t="s">
        <v>356</v>
      </c>
      <c r="AE98" s="46" t="s">
        <v>499</v>
      </c>
    </row>
    <row r="99" spans="1:33" ht="14.25" customHeight="1" x14ac:dyDescent="0.25">
      <c r="A99" s="38">
        <v>44135</v>
      </c>
      <c r="B99" s="39" t="s">
        <v>451</v>
      </c>
      <c r="C99" s="40">
        <v>639</v>
      </c>
      <c r="D99" s="26"/>
      <c r="E99" s="31"/>
      <c r="F99" s="31"/>
      <c r="G99" s="31" t="s">
        <v>511</v>
      </c>
      <c r="H99" s="39"/>
      <c r="I99" s="40"/>
      <c r="J99" s="31"/>
      <c r="K99" s="31"/>
      <c r="AC99" s="45">
        <v>720</v>
      </c>
      <c r="AD99" s="46" t="s">
        <v>363</v>
      </c>
      <c r="AE99" s="46" t="s">
        <v>499</v>
      </c>
    </row>
    <row r="100" spans="1:33" ht="14.25" customHeight="1" x14ac:dyDescent="0.25">
      <c r="A100" s="38">
        <v>44136</v>
      </c>
      <c r="B100" s="39" t="s">
        <v>408</v>
      </c>
      <c r="C100" s="40">
        <v>638</v>
      </c>
      <c r="D100" s="26"/>
      <c r="E100" s="31"/>
      <c r="F100" s="31"/>
      <c r="G100" s="31" t="s">
        <v>512</v>
      </c>
      <c r="H100" s="39"/>
      <c r="I100" s="40"/>
      <c r="J100" s="31"/>
      <c r="K100" s="31"/>
      <c r="AC100" s="45">
        <v>730</v>
      </c>
      <c r="AD100" s="46" t="s">
        <v>367</v>
      </c>
      <c r="AE100" s="46" t="s">
        <v>499</v>
      </c>
    </row>
    <row r="101" spans="1:33" ht="14.25" customHeight="1" x14ac:dyDescent="0.25">
      <c r="A101" s="38">
        <v>44137</v>
      </c>
      <c r="B101" s="39" t="s">
        <v>459</v>
      </c>
      <c r="C101" s="40">
        <v>220</v>
      </c>
      <c r="D101" s="26"/>
      <c r="E101" s="31"/>
      <c r="F101" s="31"/>
      <c r="G101" s="31" t="s">
        <v>513</v>
      </c>
      <c r="H101" s="39"/>
      <c r="I101" s="40"/>
      <c r="J101" s="31"/>
      <c r="K101" s="31"/>
      <c r="AC101" s="45">
        <v>710</v>
      </c>
      <c r="AD101" s="46" t="s">
        <v>353</v>
      </c>
      <c r="AE101" s="46" t="s">
        <v>499</v>
      </c>
    </row>
    <row r="102" spans="1:33" ht="14.25" customHeight="1" x14ac:dyDescent="0.25">
      <c r="A102" s="38">
        <v>44142</v>
      </c>
      <c r="B102" s="39" t="s">
        <v>514</v>
      </c>
      <c r="C102" s="52">
        <v>224</v>
      </c>
      <c r="D102" s="26"/>
      <c r="E102" s="31"/>
      <c r="F102" s="31"/>
      <c r="G102" s="31" t="s">
        <v>515</v>
      </c>
      <c r="H102" s="39"/>
      <c r="I102" s="40"/>
      <c r="J102" s="31"/>
      <c r="K102" s="31"/>
      <c r="AC102" s="45">
        <v>330</v>
      </c>
      <c r="AD102" s="46" t="s">
        <v>387</v>
      </c>
      <c r="AE102" s="46" t="s">
        <v>516</v>
      </c>
    </row>
    <row r="103" spans="1:33" ht="14.25" customHeight="1" x14ac:dyDescent="0.25">
      <c r="A103" s="38">
        <v>44143</v>
      </c>
      <c r="B103" s="39" t="s">
        <v>495</v>
      </c>
      <c r="C103" s="40">
        <v>222</v>
      </c>
      <c r="D103" s="26"/>
      <c r="E103" s="31"/>
      <c r="F103" s="31"/>
      <c r="G103" s="31" t="s">
        <v>517</v>
      </c>
      <c r="H103" s="39"/>
      <c r="I103" s="40"/>
      <c r="J103" s="31"/>
      <c r="K103" s="31"/>
      <c r="AC103" s="45">
        <v>511</v>
      </c>
      <c r="AD103" s="46" t="s">
        <v>414</v>
      </c>
      <c r="AE103" s="46" t="s">
        <v>516</v>
      </c>
    </row>
    <row r="104" spans="1:33" ht="14.25" customHeight="1" x14ac:dyDescent="0.25">
      <c r="A104" s="38">
        <v>44149</v>
      </c>
      <c r="B104" s="39" t="s">
        <v>518</v>
      </c>
      <c r="C104" s="40">
        <v>226</v>
      </c>
      <c r="D104" s="26"/>
      <c r="E104" s="31"/>
      <c r="F104" s="31"/>
      <c r="G104" s="31" t="s">
        <v>519</v>
      </c>
      <c r="H104" s="39"/>
      <c r="I104" s="40"/>
      <c r="J104" s="31"/>
      <c r="K104" s="31"/>
      <c r="AC104" s="45">
        <v>530</v>
      </c>
      <c r="AD104" s="46" t="s">
        <v>406</v>
      </c>
      <c r="AE104" s="46" t="s">
        <v>516</v>
      </c>
    </row>
    <row r="105" spans="1:33" ht="14.25" customHeight="1" x14ac:dyDescent="0.25">
      <c r="A105" s="38">
        <v>44150</v>
      </c>
      <c r="B105" s="39" t="s">
        <v>468</v>
      </c>
      <c r="C105" s="40">
        <v>225</v>
      </c>
      <c r="D105" s="26"/>
      <c r="E105" s="31"/>
      <c r="F105" s="31"/>
      <c r="G105" s="31" t="s">
        <v>520</v>
      </c>
      <c r="H105" s="39"/>
      <c r="I105" s="40"/>
      <c r="J105" s="31"/>
      <c r="K105" s="31"/>
      <c r="AC105" s="45">
        <v>510</v>
      </c>
      <c r="AD105" s="46" t="s">
        <v>103</v>
      </c>
      <c r="AE105" s="46" t="s">
        <v>516</v>
      </c>
    </row>
    <row r="106" spans="1:33" ht="14.25" customHeight="1" x14ac:dyDescent="0.25">
      <c r="A106" s="38">
        <v>44151</v>
      </c>
      <c r="B106" s="39" t="s">
        <v>475</v>
      </c>
      <c r="C106" s="40">
        <v>221</v>
      </c>
      <c r="D106" s="26"/>
      <c r="E106" s="31"/>
      <c r="F106" s="31"/>
      <c r="G106" s="31" t="s">
        <v>521</v>
      </c>
      <c r="H106" s="39"/>
      <c r="I106" s="40"/>
      <c r="J106" s="31"/>
      <c r="K106" s="31"/>
      <c r="AC106" s="45">
        <v>502</v>
      </c>
      <c r="AD106" s="46" t="s">
        <v>410</v>
      </c>
      <c r="AE106" s="46" t="s">
        <v>516</v>
      </c>
    </row>
    <row r="107" spans="1:33" ht="14.25" customHeight="1" x14ac:dyDescent="0.25">
      <c r="A107" s="38">
        <v>44156</v>
      </c>
      <c r="B107" s="39" t="s">
        <v>464</v>
      </c>
      <c r="C107" s="40">
        <v>240</v>
      </c>
      <c r="D107" s="26"/>
      <c r="E107" s="31"/>
      <c r="F107" s="31"/>
      <c r="G107" s="31" t="s">
        <v>522</v>
      </c>
      <c r="H107" s="39"/>
      <c r="I107" s="40"/>
      <c r="J107" s="31"/>
      <c r="K107" s="31"/>
      <c r="AC107" s="45">
        <v>525</v>
      </c>
      <c r="AD107" s="46" t="s">
        <v>426</v>
      </c>
      <c r="AE107" s="46" t="s">
        <v>516</v>
      </c>
    </row>
    <row r="108" spans="1:33" ht="14.25" customHeight="1" x14ac:dyDescent="0.25">
      <c r="A108" s="38">
        <v>44157</v>
      </c>
      <c r="B108" s="39" t="s">
        <v>482</v>
      </c>
      <c r="C108" s="40">
        <v>245</v>
      </c>
      <c r="D108" s="26"/>
      <c r="E108" s="31"/>
      <c r="F108" s="31"/>
      <c r="G108" s="31" t="s">
        <v>523</v>
      </c>
      <c r="H108" s="39"/>
      <c r="I108" s="40"/>
      <c r="J108" s="31"/>
      <c r="K108" s="31"/>
      <c r="AC108" s="45">
        <v>501</v>
      </c>
      <c r="AD108" s="46" t="s">
        <v>418</v>
      </c>
      <c r="AE108" s="46" t="s">
        <v>516</v>
      </c>
    </row>
    <row r="109" spans="1:33" ht="14.25" customHeight="1" x14ac:dyDescent="0.25">
      <c r="A109" s="38">
        <v>44163</v>
      </c>
      <c r="B109" s="39" t="s">
        <v>493</v>
      </c>
      <c r="C109" s="40">
        <v>241</v>
      </c>
      <c r="D109" s="26"/>
      <c r="E109" s="31"/>
      <c r="F109" s="31"/>
      <c r="G109" s="31" t="s">
        <v>524</v>
      </c>
      <c r="H109" s="39"/>
      <c r="I109" s="40"/>
      <c r="J109" s="31"/>
      <c r="K109" s="31"/>
      <c r="AC109" s="45">
        <v>521</v>
      </c>
      <c r="AD109" s="46" t="s">
        <v>525</v>
      </c>
      <c r="AE109" s="46" t="s">
        <v>516</v>
      </c>
    </row>
    <row r="110" spans="1:33" ht="14.25" customHeight="1" x14ac:dyDescent="0.25">
      <c r="A110" s="38">
        <v>44164</v>
      </c>
      <c r="B110" s="39" t="s">
        <v>479</v>
      </c>
      <c r="C110" s="40">
        <v>632</v>
      </c>
      <c r="D110" s="26"/>
      <c r="E110" s="31"/>
      <c r="F110" s="31"/>
      <c r="G110" s="31" t="s">
        <v>526</v>
      </c>
      <c r="H110" s="39"/>
      <c r="I110" s="40"/>
      <c r="J110" s="31"/>
      <c r="K110" s="31"/>
      <c r="AC110" s="45">
        <v>503</v>
      </c>
      <c r="AD110" s="46" t="s">
        <v>396</v>
      </c>
      <c r="AE110" s="46" t="s">
        <v>516</v>
      </c>
    </row>
    <row r="111" spans="1:33" ht="14.25" customHeight="1" x14ac:dyDescent="0.25">
      <c r="A111" s="38">
        <v>44170</v>
      </c>
      <c r="B111" s="39" t="s">
        <v>471</v>
      </c>
      <c r="C111" s="40">
        <v>242</v>
      </c>
      <c r="D111" s="26"/>
      <c r="E111" s="31"/>
      <c r="F111" s="31"/>
      <c r="G111" s="31" t="s">
        <v>527</v>
      </c>
      <c r="H111" s="39"/>
      <c r="I111" s="40"/>
      <c r="J111" s="31"/>
      <c r="K111" s="31"/>
      <c r="AC111" s="45">
        <v>512</v>
      </c>
      <c r="AD111" s="46" t="s">
        <v>402</v>
      </c>
      <c r="AE111" s="46" t="s">
        <v>516</v>
      </c>
    </row>
    <row r="112" spans="1:33" ht="14.25" customHeight="1" x14ac:dyDescent="0.25">
      <c r="A112" s="38">
        <v>44171</v>
      </c>
      <c r="B112" s="39" t="s">
        <v>528</v>
      </c>
      <c r="C112" s="40">
        <v>243</v>
      </c>
      <c r="D112" s="26"/>
      <c r="E112" s="31"/>
      <c r="F112" s="31"/>
      <c r="G112" s="31" t="s">
        <v>529</v>
      </c>
      <c r="H112" s="39"/>
      <c r="I112" s="40"/>
      <c r="J112" s="31"/>
      <c r="K112" s="31"/>
      <c r="AC112" s="45">
        <v>523</v>
      </c>
      <c r="AD112" s="46" t="s">
        <v>530</v>
      </c>
      <c r="AE112" s="46" t="s">
        <v>516</v>
      </c>
    </row>
    <row r="113" spans="1:31" ht="14.25" customHeight="1" x14ac:dyDescent="0.25">
      <c r="A113" s="38">
        <v>44173</v>
      </c>
      <c r="B113" s="39" t="s">
        <v>531</v>
      </c>
      <c r="C113" s="40">
        <v>610</v>
      </c>
      <c r="D113" s="26"/>
      <c r="E113" s="31"/>
      <c r="F113" s="31"/>
      <c r="G113" s="31" t="s">
        <v>532</v>
      </c>
      <c r="H113" s="39"/>
      <c r="I113" s="40"/>
      <c r="J113" s="31"/>
      <c r="K113" s="31"/>
      <c r="AC113" s="45">
        <v>520</v>
      </c>
      <c r="AD113" s="46" t="s">
        <v>422</v>
      </c>
      <c r="AE113" s="46" t="s">
        <v>516</v>
      </c>
    </row>
    <row r="114" spans="1:31" ht="14.25" customHeight="1" x14ac:dyDescent="0.25">
      <c r="A114" s="38">
        <v>44177</v>
      </c>
      <c r="B114" s="39" t="s">
        <v>533</v>
      </c>
      <c r="C114" s="40">
        <v>612</v>
      </c>
      <c r="D114" s="26"/>
      <c r="E114" s="31"/>
      <c r="F114" s="31"/>
      <c r="G114" s="31" t="s">
        <v>534</v>
      </c>
      <c r="H114" s="39"/>
      <c r="I114" s="40"/>
      <c r="J114" s="31"/>
      <c r="K114" s="31"/>
      <c r="AC114" s="45">
        <v>522</v>
      </c>
      <c r="AD114" s="46" t="s">
        <v>430</v>
      </c>
      <c r="AE114" s="46" t="s">
        <v>516</v>
      </c>
    </row>
    <row r="115" spans="1:31" ht="14.25" customHeight="1" x14ac:dyDescent="0.25">
      <c r="A115" s="38">
        <v>44178</v>
      </c>
      <c r="B115" s="39" t="s">
        <v>535</v>
      </c>
      <c r="C115" s="40">
        <v>620</v>
      </c>
      <c r="D115" s="26"/>
      <c r="E115" s="31"/>
      <c r="F115" s="31"/>
      <c r="G115" s="31" t="s">
        <v>536</v>
      </c>
      <c r="H115" s="39"/>
      <c r="I115" s="40"/>
      <c r="J115" s="31"/>
      <c r="K115" s="31"/>
      <c r="AC115" s="45">
        <v>500</v>
      </c>
      <c r="AD115" s="46" t="s">
        <v>392</v>
      </c>
      <c r="AE115" s="46" t="s">
        <v>516</v>
      </c>
    </row>
    <row r="116" spans="1:31" ht="14.25" customHeight="1" x14ac:dyDescent="0.25">
      <c r="A116" s="38">
        <v>44184</v>
      </c>
      <c r="B116" s="39" t="s">
        <v>537</v>
      </c>
      <c r="C116" s="40">
        <v>621</v>
      </c>
      <c r="D116" s="26"/>
      <c r="E116" s="31"/>
      <c r="F116" s="31"/>
      <c r="G116" s="31" t="s">
        <v>538</v>
      </c>
      <c r="H116" s="39"/>
      <c r="I116" s="40"/>
      <c r="J116" s="31"/>
      <c r="K116" s="31"/>
      <c r="AC116" s="45">
        <v>526</v>
      </c>
      <c r="AD116" s="46" t="s">
        <v>539</v>
      </c>
      <c r="AE116" s="46" t="s">
        <v>516</v>
      </c>
    </row>
    <row r="117" spans="1:31" ht="14.25" customHeight="1" x14ac:dyDescent="0.25">
      <c r="A117" s="38">
        <v>44185</v>
      </c>
      <c r="B117" s="39" t="s">
        <v>83</v>
      </c>
      <c r="C117" s="40">
        <v>630</v>
      </c>
      <c r="D117" s="26"/>
      <c r="E117" s="31"/>
      <c r="F117" s="31"/>
      <c r="G117" s="31" t="s">
        <v>540</v>
      </c>
      <c r="H117" s="39"/>
      <c r="I117" s="40"/>
      <c r="J117" s="31"/>
      <c r="K117" s="31"/>
      <c r="AC117" s="45">
        <v>610</v>
      </c>
      <c r="AD117" s="46" t="s">
        <v>531</v>
      </c>
      <c r="AE117" s="46" t="s">
        <v>541</v>
      </c>
    </row>
    <row r="118" spans="1:31" ht="14.25" customHeight="1" x14ac:dyDescent="0.25">
      <c r="A118" s="38">
        <v>44180</v>
      </c>
      <c r="B118" s="39" t="s">
        <v>542</v>
      </c>
      <c r="C118" s="40">
        <v>690</v>
      </c>
      <c r="D118" s="26"/>
      <c r="E118" s="31"/>
      <c r="F118" s="31"/>
      <c r="G118" s="31" t="s">
        <v>543</v>
      </c>
      <c r="H118" s="39"/>
      <c r="I118" s="40"/>
      <c r="J118" s="31"/>
      <c r="K118" s="31"/>
      <c r="AC118" s="45">
        <v>611</v>
      </c>
      <c r="AD118" s="46" t="s">
        <v>38</v>
      </c>
      <c r="AE118" s="46" t="s">
        <v>541</v>
      </c>
    </row>
    <row r="119" spans="1:31" ht="14.25" customHeight="1" x14ac:dyDescent="0.25">
      <c r="A119" s="38">
        <v>44191</v>
      </c>
      <c r="B119" s="39" t="s">
        <v>544</v>
      </c>
      <c r="C119" s="40">
        <v>631</v>
      </c>
      <c r="D119" s="26"/>
      <c r="E119" s="31"/>
      <c r="F119" s="31"/>
      <c r="G119" s="31" t="s">
        <v>545</v>
      </c>
      <c r="H119" s="39"/>
      <c r="I119" s="40"/>
      <c r="J119" s="31"/>
      <c r="K119" s="31"/>
      <c r="AC119" s="45">
        <v>612</v>
      </c>
      <c r="AD119" s="46" t="s">
        <v>533</v>
      </c>
      <c r="AE119" s="46" t="s">
        <v>541</v>
      </c>
    </row>
    <row r="120" spans="1:31" ht="14.25" customHeight="1" x14ac:dyDescent="0.25">
      <c r="A120" s="23">
        <v>44192</v>
      </c>
      <c r="B120" s="39" t="s">
        <v>546</v>
      </c>
      <c r="C120" s="40">
        <v>910</v>
      </c>
      <c r="D120" s="26"/>
      <c r="E120" s="31"/>
      <c r="F120" s="31"/>
      <c r="G120" s="31" t="s">
        <v>547</v>
      </c>
      <c r="H120" s="39"/>
      <c r="I120" s="40"/>
      <c r="J120" s="31"/>
      <c r="K120" s="31"/>
      <c r="AC120" s="45">
        <v>620</v>
      </c>
      <c r="AD120" s="46" t="s">
        <v>535</v>
      </c>
      <c r="AE120" s="46" t="s">
        <v>541</v>
      </c>
    </row>
    <row r="121" spans="1:31" ht="14.25" customHeight="1" x14ac:dyDescent="0.25">
      <c r="A121" s="53">
        <v>44197</v>
      </c>
      <c r="B121" s="39" t="s">
        <v>548</v>
      </c>
      <c r="C121" s="40">
        <v>911</v>
      </c>
      <c r="D121" s="26"/>
      <c r="E121" s="31"/>
      <c r="F121" s="31"/>
      <c r="G121" s="31" t="s">
        <v>549</v>
      </c>
      <c r="H121" s="39"/>
      <c r="I121" s="40"/>
      <c r="J121" s="31"/>
      <c r="K121" s="31"/>
      <c r="AC121" s="45">
        <v>613</v>
      </c>
      <c r="AD121" s="46" t="s">
        <v>550</v>
      </c>
      <c r="AE121" s="46" t="s">
        <v>541</v>
      </c>
    </row>
    <row r="122" spans="1:31" ht="14.25" customHeight="1" x14ac:dyDescent="0.25">
      <c r="A122" s="53">
        <v>44198</v>
      </c>
      <c r="B122" s="39" t="s">
        <v>38</v>
      </c>
      <c r="C122" s="40">
        <v>611</v>
      </c>
      <c r="D122" s="26"/>
      <c r="E122" s="31"/>
      <c r="F122" s="31"/>
      <c r="G122" s="31" t="s">
        <v>551</v>
      </c>
      <c r="H122" s="39"/>
      <c r="I122" s="40"/>
      <c r="J122" s="31"/>
      <c r="K122" s="31"/>
      <c r="AC122" s="45">
        <v>911</v>
      </c>
      <c r="AD122" s="46" t="s">
        <v>548</v>
      </c>
      <c r="AE122" s="46" t="s">
        <v>541</v>
      </c>
    </row>
    <row r="123" spans="1:31" ht="14.25" customHeight="1" x14ac:dyDescent="0.25">
      <c r="A123" s="53">
        <v>44199</v>
      </c>
      <c r="B123" s="39" t="s">
        <v>552</v>
      </c>
      <c r="C123" s="40">
        <v>170</v>
      </c>
      <c r="D123" s="26"/>
      <c r="E123" s="31"/>
      <c r="F123" s="31"/>
      <c r="G123" s="31" t="s">
        <v>553</v>
      </c>
      <c r="H123" s="39"/>
      <c r="I123" s="40"/>
      <c r="J123" s="31"/>
      <c r="K123" s="31"/>
      <c r="AC123" s="45">
        <v>631</v>
      </c>
      <c r="AD123" s="46" t="s">
        <v>544</v>
      </c>
      <c r="AE123" s="46" t="s">
        <v>541</v>
      </c>
    </row>
    <row r="124" spans="1:31" ht="14.25" customHeight="1" x14ac:dyDescent="0.25">
      <c r="A124" s="53">
        <v>44205</v>
      </c>
      <c r="B124" s="39" t="s">
        <v>554</v>
      </c>
      <c r="C124" s="40">
        <v>740</v>
      </c>
      <c r="D124" s="26"/>
      <c r="E124" s="31"/>
      <c r="F124" s="31"/>
      <c r="G124" s="31" t="s">
        <v>555</v>
      </c>
      <c r="H124" s="39"/>
      <c r="I124" s="40"/>
      <c r="J124" s="31"/>
      <c r="K124" s="31"/>
      <c r="AC124" s="45">
        <v>621</v>
      </c>
      <c r="AD124" s="46" t="s">
        <v>537</v>
      </c>
      <c r="AE124" s="46" t="s">
        <v>541</v>
      </c>
    </row>
    <row r="125" spans="1:31" ht="14.25" customHeight="1" x14ac:dyDescent="0.25">
      <c r="A125" s="53">
        <v>44206</v>
      </c>
      <c r="B125" s="39" t="s">
        <v>556</v>
      </c>
      <c r="C125" s="40">
        <v>745</v>
      </c>
      <c r="D125" s="26"/>
      <c r="E125" s="31"/>
      <c r="F125" s="31"/>
      <c r="G125" s="31" t="s">
        <v>557</v>
      </c>
      <c r="H125" s="39"/>
      <c r="I125" s="40"/>
      <c r="J125" s="31"/>
      <c r="K125" s="31"/>
      <c r="AC125" s="45">
        <v>630</v>
      </c>
      <c r="AD125" s="46" t="s">
        <v>83</v>
      </c>
      <c r="AE125" s="46" t="s">
        <v>541</v>
      </c>
    </row>
    <row r="126" spans="1:31" ht="14.25" customHeight="1" x14ac:dyDescent="0.25">
      <c r="A126" s="53">
        <v>44207</v>
      </c>
      <c r="B126" s="39" t="s">
        <v>558</v>
      </c>
      <c r="C126" s="40">
        <v>750</v>
      </c>
      <c r="D126" s="26"/>
      <c r="E126" s="31"/>
      <c r="F126" s="31"/>
      <c r="G126" s="31" t="s">
        <v>559</v>
      </c>
      <c r="H126" s="39"/>
      <c r="I126" s="40"/>
      <c r="J126" s="31"/>
      <c r="K126" s="31"/>
      <c r="AC126" s="45">
        <v>690</v>
      </c>
      <c r="AD126" s="46" t="s">
        <v>542</v>
      </c>
      <c r="AE126" s="46" t="s">
        <v>541</v>
      </c>
    </row>
    <row r="127" spans="1:31" ht="14.25" customHeight="1" x14ac:dyDescent="0.25">
      <c r="A127" s="53">
        <v>44212</v>
      </c>
      <c r="B127" s="39" t="s">
        <v>560</v>
      </c>
      <c r="C127" s="40">
        <v>758</v>
      </c>
      <c r="D127" s="26"/>
      <c r="E127" s="31"/>
      <c r="F127" s="31"/>
      <c r="G127" s="31" t="s">
        <v>561</v>
      </c>
      <c r="H127" s="39"/>
      <c r="I127" s="40"/>
      <c r="J127" s="31"/>
      <c r="K127" s="31"/>
      <c r="AC127" s="45">
        <v>910</v>
      </c>
      <c r="AD127" s="46" t="s">
        <v>546</v>
      </c>
      <c r="AE127" s="46" t="s">
        <v>541</v>
      </c>
    </row>
    <row r="128" spans="1:31" ht="14.25" customHeight="1" x14ac:dyDescent="0.25">
      <c r="A128" s="53">
        <v>44213</v>
      </c>
      <c r="B128" s="39" t="s">
        <v>562</v>
      </c>
      <c r="C128" s="40">
        <v>760</v>
      </c>
      <c r="D128" s="26"/>
      <c r="E128" s="31"/>
      <c r="F128" s="31"/>
      <c r="G128" s="31" t="s">
        <v>563</v>
      </c>
      <c r="H128" s="39"/>
      <c r="I128" s="40"/>
      <c r="J128" s="31"/>
      <c r="K128" s="31"/>
      <c r="AC128" s="45">
        <v>622</v>
      </c>
      <c r="AD128" s="46" t="s">
        <v>564</v>
      </c>
      <c r="AE128" s="46" t="s">
        <v>541</v>
      </c>
    </row>
    <row r="129" spans="1:31" ht="14.25" customHeight="1" x14ac:dyDescent="0.25">
      <c r="A129" s="53">
        <v>44219</v>
      </c>
      <c r="B129" s="39" t="s">
        <v>565</v>
      </c>
      <c r="C129" s="40">
        <v>755</v>
      </c>
      <c r="D129" s="26"/>
      <c r="E129" s="31"/>
      <c r="F129" s="31"/>
      <c r="G129" s="31" t="s">
        <v>566</v>
      </c>
      <c r="H129" s="39"/>
      <c r="I129" s="40"/>
      <c r="J129" s="31"/>
      <c r="K129" s="31"/>
      <c r="AC129" s="45">
        <v>670</v>
      </c>
      <c r="AD129" s="46" t="s">
        <v>240</v>
      </c>
      <c r="AE129" s="46" t="s">
        <v>567</v>
      </c>
    </row>
    <row r="130" spans="1:31" ht="14.25" customHeight="1" x14ac:dyDescent="0.25">
      <c r="A130" s="53">
        <v>44220</v>
      </c>
      <c r="B130" s="39" t="s">
        <v>568</v>
      </c>
      <c r="C130" s="40">
        <v>765</v>
      </c>
      <c r="D130" s="26"/>
      <c r="E130" s="31"/>
      <c r="F130" s="31"/>
      <c r="G130" s="31" t="s">
        <v>569</v>
      </c>
      <c r="H130" s="39"/>
      <c r="I130" s="40"/>
      <c r="J130" s="31"/>
      <c r="K130" s="31"/>
      <c r="AC130" s="45">
        <v>641</v>
      </c>
      <c r="AD130" s="46" t="s">
        <v>570</v>
      </c>
      <c r="AE130" s="46" t="s">
        <v>567</v>
      </c>
    </row>
    <row r="131" spans="1:31" ht="14.25" customHeight="1" x14ac:dyDescent="0.25">
      <c r="A131" s="53">
        <v>44226</v>
      </c>
      <c r="B131" s="39" t="s">
        <v>265</v>
      </c>
      <c r="C131" s="40">
        <v>110</v>
      </c>
      <c r="D131" s="26"/>
      <c r="E131" s="31"/>
      <c r="F131" s="31"/>
      <c r="G131" s="31" t="s">
        <v>571</v>
      </c>
      <c r="H131" s="39"/>
      <c r="I131" s="40"/>
      <c r="J131" s="31"/>
      <c r="K131" s="31"/>
      <c r="AC131" s="45">
        <v>640</v>
      </c>
      <c r="AD131" s="46" t="s">
        <v>179</v>
      </c>
      <c r="AE131" s="46" t="s">
        <v>567</v>
      </c>
    </row>
    <row r="132" spans="1:31" ht="14.25" customHeight="1" x14ac:dyDescent="0.25">
      <c r="A132" s="53">
        <v>44227</v>
      </c>
      <c r="B132" s="39" t="s">
        <v>572</v>
      </c>
      <c r="C132" s="40">
        <v>120</v>
      </c>
      <c r="D132" s="26"/>
      <c r="E132" s="31"/>
      <c r="F132" s="31"/>
      <c r="G132" s="31" t="s">
        <v>573</v>
      </c>
      <c r="H132" s="39"/>
      <c r="I132" s="40"/>
      <c r="J132" s="31"/>
      <c r="K132" s="31"/>
      <c r="AC132" s="45">
        <v>660</v>
      </c>
      <c r="AD132" s="46" t="s">
        <v>574</v>
      </c>
      <c r="AE132" s="46" t="s">
        <v>567</v>
      </c>
    </row>
    <row r="133" spans="1:31" ht="14.25" customHeight="1" x14ac:dyDescent="0.25">
      <c r="A133" s="53">
        <v>44233</v>
      </c>
      <c r="B133" s="39" t="s">
        <v>293</v>
      </c>
      <c r="C133" s="40">
        <v>121</v>
      </c>
      <c r="D133" s="26"/>
      <c r="E133" s="31"/>
      <c r="F133" s="31"/>
      <c r="G133" s="31" t="s">
        <v>575</v>
      </c>
      <c r="H133" s="39"/>
      <c r="I133" s="40"/>
      <c r="J133" s="31"/>
      <c r="K133" s="31"/>
      <c r="AC133" s="45">
        <v>680</v>
      </c>
      <c r="AD133" s="46" t="s">
        <v>218</v>
      </c>
      <c r="AE133" s="46" t="s">
        <v>567</v>
      </c>
    </row>
    <row r="134" spans="1:31" ht="14.25" customHeight="1" x14ac:dyDescent="0.25">
      <c r="A134" s="53">
        <v>44234</v>
      </c>
      <c r="B134" s="39" t="s">
        <v>290</v>
      </c>
      <c r="C134" s="40">
        <v>122</v>
      </c>
      <c r="D134" s="26"/>
      <c r="E134" s="31"/>
      <c r="F134" s="31"/>
      <c r="G134" s="31" t="s">
        <v>576</v>
      </c>
      <c r="H134" s="39"/>
      <c r="I134" s="40"/>
      <c r="J134" s="31"/>
      <c r="K134" s="31"/>
      <c r="AC134" s="45">
        <v>650</v>
      </c>
      <c r="AD134" s="46" t="s">
        <v>54</v>
      </c>
      <c r="AE134" s="46" t="s">
        <v>567</v>
      </c>
    </row>
    <row r="135" spans="1:31" ht="14.25" customHeight="1" x14ac:dyDescent="0.25">
      <c r="A135" s="53">
        <v>44240</v>
      </c>
      <c r="B135" s="39" t="s">
        <v>267</v>
      </c>
      <c r="C135" s="40">
        <v>130</v>
      </c>
      <c r="D135" s="26"/>
      <c r="E135" s="31"/>
      <c r="F135" s="31"/>
      <c r="G135" s="31" t="s">
        <v>577</v>
      </c>
      <c r="H135" s="39"/>
      <c r="I135" s="40"/>
      <c r="J135" s="31"/>
      <c r="K135" s="31"/>
      <c r="AC135" s="45">
        <v>671</v>
      </c>
      <c r="AD135" s="46" t="s">
        <v>578</v>
      </c>
      <c r="AE135" s="46" t="s">
        <v>567</v>
      </c>
    </row>
    <row r="136" spans="1:31" ht="14.25" customHeight="1" x14ac:dyDescent="0.25">
      <c r="A136" s="53">
        <v>44241</v>
      </c>
      <c r="B136" s="39" t="s">
        <v>281</v>
      </c>
      <c r="C136" s="40">
        <v>162</v>
      </c>
      <c r="D136" s="26"/>
      <c r="E136" s="31"/>
      <c r="F136" s="31"/>
      <c r="G136" s="31" t="s">
        <v>579</v>
      </c>
      <c r="H136" s="39"/>
      <c r="I136" s="40"/>
      <c r="J136" s="31"/>
      <c r="K136" s="31"/>
      <c r="AC136" s="45">
        <v>682</v>
      </c>
      <c r="AD136" s="46" t="s">
        <v>580</v>
      </c>
      <c r="AE136" s="46" t="s">
        <v>567</v>
      </c>
    </row>
    <row r="137" spans="1:31" ht="14.25" customHeight="1" x14ac:dyDescent="0.25">
      <c r="A137" s="53">
        <v>44247</v>
      </c>
      <c r="B137" s="39" t="s">
        <v>270</v>
      </c>
      <c r="C137" s="40">
        <v>140</v>
      </c>
      <c r="D137" s="26"/>
      <c r="E137" s="31"/>
      <c r="F137" s="31"/>
      <c r="G137" s="31" t="s">
        <v>581</v>
      </c>
      <c r="H137" s="39"/>
      <c r="I137" s="40"/>
      <c r="J137" s="31"/>
      <c r="K137" s="31"/>
      <c r="AC137" s="45">
        <v>673</v>
      </c>
      <c r="AD137" s="46" t="s">
        <v>582</v>
      </c>
      <c r="AE137" s="46" t="s">
        <v>567</v>
      </c>
    </row>
    <row r="138" spans="1:31" ht="14.25" customHeight="1" x14ac:dyDescent="0.25">
      <c r="A138" s="53">
        <v>44248</v>
      </c>
      <c r="B138" s="39" t="s">
        <v>583</v>
      </c>
      <c r="C138" s="40">
        <v>142</v>
      </c>
      <c r="D138" s="26"/>
      <c r="E138" s="31"/>
      <c r="F138" s="31"/>
      <c r="G138" s="31" t="s">
        <v>584</v>
      </c>
      <c r="H138" s="39"/>
      <c r="I138" s="40"/>
      <c r="J138" s="31"/>
      <c r="K138" s="31"/>
      <c r="AC138" s="45">
        <v>672</v>
      </c>
      <c r="AD138" s="46" t="s">
        <v>244</v>
      </c>
      <c r="AE138" s="46" t="s">
        <v>567</v>
      </c>
    </row>
    <row r="139" spans="1:31" ht="14.25" customHeight="1" x14ac:dyDescent="0.25">
      <c r="A139" s="53">
        <v>44254</v>
      </c>
      <c r="B139" s="39" t="s">
        <v>272</v>
      </c>
      <c r="C139" s="40">
        <v>150</v>
      </c>
      <c r="D139" s="26"/>
      <c r="E139" s="31"/>
      <c r="F139" s="31"/>
      <c r="G139" s="31" t="s">
        <v>585</v>
      </c>
      <c r="H139" s="39"/>
      <c r="I139" s="40"/>
      <c r="J139" s="31"/>
      <c r="K139" s="31"/>
      <c r="AC139" s="45">
        <v>372</v>
      </c>
      <c r="AD139" s="46" t="s">
        <v>166</v>
      </c>
      <c r="AE139" s="46" t="s">
        <v>567</v>
      </c>
    </row>
    <row r="140" spans="1:31" ht="14.25" customHeight="1" x14ac:dyDescent="0.25">
      <c r="A140" s="53">
        <v>44255</v>
      </c>
      <c r="B140" s="39" t="s">
        <v>299</v>
      </c>
      <c r="C140" s="40">
        <v>160</v>
      </c>
      <c r="D140" s="26"/>
      <c r="E140" s="31"/>
      <c r="F140" s="31"/>
      <c r="G140" s="31" t="s">
        <v>586</v>
      </c>
      <c r="H140" s="39"/>
      <c r="I140" s="40"/>
      <c r="J140" s="31"/>
      <c r="K140" s="31"/>
      <c r="AC140" s="45">
        <v>681</v>
      </c>
      <c r="AD140" s="46" t="s">
        <v>226</v>
      </c>
      <c r="AE140" s="46" t="s">
        <v>567</v>
      </c>
    </row>
    <row r="141" spans="1:31" ht="14.25" customHeight="1" x14ac:dyDescent="0.25">
      <c r="A141" s="53">
        <v>44261</v>
      </c>
      <c r="B141" s="39" t="s">
        <v>284</v>
      </c>
      <c r="C141" s="40">
        <v>161</v>
      </c>
      <c r="D141" s="26"/>
      <c r="E141" s="31"/>
      <c r="F141" s="31"/>
      <c r="G141" s="31" t="s">
        <v>587</v>
      </c>
      <c r="H141" s="39"/>
      <c r="I141" s="40"/>
      <c r="J141" s="31"/>
      <c r="K141" s="31"/>
      <c r="AC141" s="45">
        <v>651</v>
      </c>
      <c r="AD141" s="46" t="s">
        <v>199</v>
      </c>
      <c r="AE141" s="46" t="s">
        <v>567</v>
      </c>
    </row>
    <row r="142" spans="1:31" ht="14.25" customHeight="1" x14ac:dyDescent="0.25">
      <c r="A142" s="53">
        <v>44262</v>
      </c>
      <c r="B142" s="39" t="s">
        <v>287</v>
      </c>
      <c r="C142" s="40">
        <v>163</v>
      </c>
      <c r="D142" s="26"/>
      <c r="E142" s="31"/>
      <c r="F142" s="31"/>
      <c r="G142" s="31" t="s">
        <v>588</v>
      </c>
      <c r="H142" s="39"/>
      <c r="I142" s="40"/>
      <c r="J142" s="31"/>
      <c r="K142" s="31"/>
      <c r="AC142" s="45">
        <v>661</v>
      </c>
      <c r="AD142" s="46" t="s">
        <v>233</v>
      </c>
      <c r="AE142" s="46" t="s">
        <v>567</v>
      </c>
    </row>
    <row r="143" spans="1:31" ht="14.25" customHeight="1" x14ac:dyDescent="0.25">
      <c r="A143" s="53">
        <v>44268</v>
      </c>
      <c r="B143" s="39" t="s">
        <v>262</v>
      </c>
      <c r="C143" s="40">
        <v>290</v>
      </c>
      <c r="D143" s="26"/>
      <c r="E143" s="31"/>
      <c r="F143" s="31"/>
      <c r="G143" s="31" t="s">
        <v>589</v>
      </c>
      <c r="H143" s="39"/>
      <c r="I143" s="40"/>
      <c r="J143" s="31"/>
      <c r="K143" s="31"/>
      <c r="AC143" s="45">
        <v>930</v>
      </c>
      <c r="AD143" s="46" t="s">
        <v>249</v>
      </c>
      <c r="AE143" s="46" t="s">
        <v>567</v>
      </c>
    </row>
    <row r="144" spans="1:31" ht="14.25" customHeight="1" x14ac:dyDescent="0.25">
      <c r="A144" s="53">
        <v>44269</v>
      </c>
      <c r="B144" s="39" t="s">
        <v>277</v>
      </c>
      <c r="C144" s="40">
        <v>291</v>
      </c>
      <c r="D144" s="26"/>
      <c r="E144" s="31"/>
      <c r="F144" s="31"/>
      <c r="G144" s="31" t="s">
        <v>590</v>
      </c>
      <c r="H144" s="39"/>
      <c r="I144" s="40"/>
      <c r="J144" s="31"/>
      <c r="K144" s="31"/>
      <c r="AC144" s="45">
        <v>645</v>
      </c>
      <c r="AD144" s="46" t="s">
        <v>591</v>
      </c>
      <c r="AE144" s="46" t="s">
        <v>567</v>
      </c>
    </row>
    <row r="145" spans="1:31" ht="14.25" customHeight="1" x14ac:dyDescent="0.25">
      <c r="A145" s="53">
        <v>44275</v>
      </c>
      <c r="B145" s="39" t="s">
        <v>279</v>
      </c>
      <c r="C145" s="40">
        <v>300</v>
      </c>
      <c r="D145" s="26"/>
      <c r="E145" s="31"/>
      <c r="F145" s="31"/>
      <c r="G145" s="31" t="s">
        <v>592</v>
      </c>
      <c r="H145" s="39"/>
      <c r="I145" s="40"/>
      <c r="J145" s="31"/>
      <c r="K145" s="31"/>
      <c r="AC145" s="45">
        <v>931</v>
      </c>
      <c r="AD145" s="46" t="s">
        <v>593</v>
      </c>
      <c r="AE145" s="46" t="s">
        <v>567</v>
      </c>
    </row>
    <row r="146" spans="1:31" ht="14.25" customHeight="1" x14ac:dyDescent="0.25">
      <c r="A146" s="53">
        <v>44276</v>
      </c>
      <c r="B146" s="39" t="s">
        <v>594</v>
      </c>
      <c r="C146" s="40">
        <v>302</v>
      </c>
      <c r="D146" s="26"/>
      <c r="E146" s="31"/>
      <c r="F146" s="31"/>
      <c r="G146" s="31" t="s">
        <v>595</v>
      </c>
      <c r="H146" s="39"/>
      <c r="I146" s="40"/>
      <c r="J146" s="31"/>
      <c r="K146" s="31"/>
      <c r="AC146" s="45">
        <v>642</v>
      </c>
      <c r="AD146" s="46" t="s">
        <v>596</v>
      </c>
      <c r="AE146" s="46" t="s">
        <v>567</v>
      </c>
    </row>
    <row r="147" spans="1:31" ht="14.25" customHeight="1" x14ac:dyDescent="0.25">
      <c r="A147" s="53">
        <v>44277</v>
      </c>
      <c r="B147" s="39" t="s">
        <v>342</v>
      </c>
      <c r="C147" s="40">
        <v>770</v>
      </c>
      <c r="D147" s="26"/>
      <c r="E147" s="31"/>
      <c r="F147" s="31"/>
      <c r="G147" s="31" t="s">
        <v>597</v>
      </c>
      <c r="H147" s="39"/>
      <c r="I147" s="40"/>
      <c r="J147" s="31"/>
      <c r="K147" s="31"/>
      <c r="AC147" s="45">
        <v>643</v>
      </c>
      <c r="AD147" s="46" t="s">
        <v>598</v>
      </c>
      <c r="AE147" s="46" t="s">
        <v>567</v>
      </c>
    </row>
    <row r="148" spans="1:31" ht="14.25" customHeight="1" x14ac:dyDescent="0.25">
      <c r="A148" s="53">
        <v>44282</v>
      </c>
      <c r="B148" s="39" t="s">
        <v>335</v>
      </c>
      <c r="C148" s="40">
        <v>771</v>
      </c>
      <c r="D148" s="26"/>
      <c r="E148" s="31"/>
      <c r="F148" s="31"/>
      <c r="G148" s="31" t="s">
        <v>599</v>
      </c>
      <c r="H148" s="39"/>
      <c r="I148" s="40"/>
      <c r="J148" s="31"/>
      <c r="K148" s="31"/>
      <c r="AC148" s="45">
        <v>644</v>
      </c>
      <c r="AD148" s="46" t="s">
        <v>600</v>
      </c>
      <c r="AE148" s="46" t="s">
        <v>567</v>
      </c>
    </row>
    <row r="149" spans="1:31" ht="14.25" customHeight="1" x14ac:dyDescent="0.25">
      <c r="A149" s="53">
        <v>44283</v>
      </c>
      <c r="B149" s="39" t="s">
        <v>345</v>
      </c>
      <c r="C149" s="40">
        <v>780</v>
      </c>
      <c r="D149" s="26"/>
      <c r="E149" s="31"/>
      <c r="F149" s="31"/>
      <c r="G149" s="31" t="s">
        <v>601</v>
      </c>
      <c r="H149" s="39"/>
      <c r="I149" s="40"/>
      <c r="J149" s="31"/>
      <c r="K149" s="31"/>
      <c r="AC149" s="45">
        <v>170</v>
      </c>
      <c r="AD149" s="46" t="s">
        <v>552</v>
      </c>
      <c r="AE149" s="46" t="s">
        <v>602</v>
      </c>
    </row>
    <row r="150" spans="1:31" ht="14.25" customHeight="1" x14ac:dyDescent="0.25">
      <c r="A150" s="53">
        <v>44287</v>
      </c>
      <c r="B150" s="39" t="s">
        <v>320</v>
      </c>
      <c r="C150" s="40">
        <v>772</v>
      </c>
      <c r="D150" s="26"/>
      <c r="E150" s="31"/>
      <c r="F150" s="31"/>
      <c r="G150" s="31" t="s">
        <v>603</v>
      </c>
      <c r="H150" s="39"/>
      <c r="I150" s="40"/>
      <c r="J150" s="31"/>
      <c r="K150" s="31"/>
      <c r="AC150" s="45">
        <v>755</v>
      </c>
      <c r="AD150" s="46" t="s">
        <v>565</v>
      </c>
      <c r="AE150" s="46" t="s">
        <v>602</v>
      </c>
    </row>
    <row r="151" spans="1:31" ht="14.25" customHeight="1" x14ac:dyDescent="0.25">
      <c r="A151" s="53">
        <v>44288</v>
      </c>
      <c r="B151" s="39" t="s">
        <v>306</v>
      </c>
      <c r="C151" s="40">
        <v>753</v>
      </c>
      <c r="D151" s="26"/>
      <c r="E151" s="31"/>
      <c r="F151" s="31"/>
      <c r="G151" s="31" t="s">
        <v>604</v>
      </c>
      <c r="H151" s="39"/>
      <c r="I151" s="40"/>
      <c r="J151" s="31"/>
      <c r="K151" s="31"/>
      <c r="AC151" s="45">
        <v>750</v>
      </c>
      <c r="AD151" s="46" t="s">
        <v>605</v>
      </c>
      <c r="AE151" s="46" t="s">
        <v>602</v>
      </c>
    </row>
    <row r="152" spans="1:31" ht="14.25" customHeight="1" x14ac:dyDescent="0.25">
      <c r="A152" s="53">
        <v>44289</v>
      </c>
      <c r="B152" s="39" t="s">
        <v>313</v>
      </c>
      <c r="C152" s="40">
        <v>920</v>
      </c>
      <c r="D152" s="26"/>
      <c r="E152" s="31"/>
      <c r="F152" s="31"/>
      <c r="G152" s="31" t="s">
        <v>606</v>
      </c>
      <c r="H152" s="39"/>
      <c r="I152" s="40"/>
      <c r="J152" s="31"/>
      <c r="K152" s="31"/>
      <c r="AC152" s="45">
        <v>758</v>
      </c>
      <c r="AD152" s="46" t="s">
        <v>560</v>
      </c>
      <c r="AE152" s="46" t="s">
        <v>602</v>
      </c>
    </row>
    <row r="153" spans="1:31" ht="14.25" customHeight="1" x14ac:dyDescent="0.25">
      <c r="A153" s="53">
        <v>44290</v>
      </c>
      <c r="B153" s="39" t="s">
        <v>317</v>
      </c>
      <c r="C153" s="40">
        <v>481</v>
      </c>
      <c r="D153" s="26"/>
      <c r="E153" s="31"/>
      <c r="F153" s="31"/>
      <c r="G153" s="31" t="s">
        <v>607</v>
      </c>
      <c r="H153" s="39"/>
      <c r="I153" s="40"/>
      <c r="J153" s="31"/>
      <c r="K153" s="31"/>
      <c r="AC153" s="45">
        <v>745</v>
      </c>
      <c r="AD153" s="46" t="s">
        <v>608</v>
      </c>
      <c r="AE153" s="46" t="s">
        <v>602</v>
      </c>
    </row>
    <row r="154" spans="1:31" ht="14.25" customHeight="1" x14ac:dyDescent="0.25">
      <c r="A154" s="53">
        <v>44296</v>
      </c>
      <c r="B154" s="39" t="s">
        <v>326</v>
      </c>
      <c r="C154" s="40">
        <v>470</v>
      </c>
      <c r="D154" s="26"/>
      <c r="E154" s="31"/>
      <c r="F154" s="31"/>
      <c r="G154" s="31" t="s">
        <v>609</v>
      </c>
      <c r="H154" s="39"/>
      <c r="I154" s="40"/>
      <c r="J154" s="31"/>
      <c r="K154" s="31"/>
      <c r="AC154" s="45">
        <v>765</v>
      </c>
      <c r="AD154" s="46" t="s">
        <v>568</v>
      </c>
      <c r="AE154" s="46" t="s">
        <v>602</v>
      </c>
    </row>
    <row r="155" spans="1:31" ht="14.25" customHeight="1" x14ac:dyDescent="0.25">
      <c r="A155" s="53">
        <v>44297</v>
      </c>
      <c r="B155" s="39" t="s">
        <v>610</v>
      </c>
      <c r="C155" s="40">
        <v>472</v>
      </c>
      <c r="D155" s="26"/>
      <c r="E155" s="31"/>
      <c r="F155" s="31"/>
      <c r="G155" s="31" t="s">
        <v>611</v>
      </c>
      <c r="H155" s="39"/>
      <c r="I155" s="40"/>
      <c r="J155" s="31"/>
      <c r="K155" s="31"/>
      <c r="AC155" s="45">
        <v>760</v>
      </c>
      <c r="AD155" s="46" t="s">
        <v>562</v>
      </c>
      <c r="AE155" s="46" t="s">
        <v>602</v>
      </c>
    </row>
    <row r="156" spans="1:31" ht="14.25" customHeight="1" x14ac:dyDescent="0.25">
      <c r="A156" s="53">
        <v>44303</v>
      </c>
      <c r="B156" s="39" t="s">
        <v>323</v>
      </c>
      <c r="C156" s="40">
        <v>480</v>
      </c>
      <c r="D156" s="26"/>
      <c r="E156" s="31"/>
      <c r="F156" s="31"/>
      <c r="G156" s="31" t="s">
        <v>612</v>
      </c>
      <c r="H156" s="39"/>
      <c r="I156" s="40"/>
      <c r="J156" s="31"/>
      <c r="K156" s="31"/>
      <c r="AC156" s="45">
        <v>811</v>
      </c>
      <c r="AD156" s="46" t="s">
        <v>99</v>
      </c>
      <c r="AE156" s="46" t="s">
        <v>613</v>
      </c>
    </row>
    <row r="157" spans="1:31" ht="14.25" customHeight="1" x14ac:dyDescent="0.25">
      <c r="A157" s="53">
        <v>44304</v>
      </c>
      <c r="B157" s="39" t="s">
        <v>329</v>
      </c>
      <c r="C157" s="40">
        <v>471</v>
      </c>
      <c r="D157" s="26"/>
      <c r="E157" s="31"/>
      <c r="F157" s="31"/>
      <c r="G157" s="31" t="s">
        <v>614</v>
      </c>
      <c r="H157" s="39"/>
      <c r="I157" s="40"/>
      <c r="J157" s="31"/>
      <c r="K157" s="31"/>
      <c r="AC157" s="45">
        <v>223</v>
      </c>
      <c r="AD157" s="46" t="s">
        <v>486</v>
      </c>
      <c r="AE157" s="46" t="s">
        <v>613</v>
      </c>
    </row>
    <row r="158" spans="1:31" ht="14.25" customHeight="1" x14ac:dyDescent="0.25">
      <c r="A158" s="53">
        <v>44310</v>
      </c>
      <c r="B158" s="39" t="s">
        <v>615</v>
      </c>
      <c r="C158" s="40">
        <v>482</v>
      </c>
      <c r="D158" s="26"/>
      <c r="E158" s="31"/>
      <c r="F158" s="31"/>
      <c r="G158" s="31" t="s">
        <v>616</v>
      </c>
      <c r="H158" s="39"/>
      <c r="I158" s="40"/>
      <c r="J158" s="31"/>
      <c r="K158" s="31"/>
      <c r="AC158" s="45">
        <v>812</v>
      </c>
      <c r="AD158" s="46" t="s">
        <v>480</v>
      </c>
      <c r="AE158" s="46" t="s">
        <v>613</v>
      </c>
    </row>
    <row r="159" spans="1:31" ht="14.25" customHeight="1" x14ac:dyDescent="0.25">
      <c r="A159" s="53">
        <v>44317</v>
      </c>
      <c r="B159" s="39" t="s">
        <v>338</v>
      </c>
      <c r="C159" s="40">
        <v>781</v>
      </c>
      <c r="D159" s="26"/>
      <c r="E159" s="31"/>
      <c r="F159" s="31"/>
      <c r="G159" s="31" t="s">
        <v>617</v>
      </c>
      <c r="H159" s="39"/>
      <c r="I159" s="40"/>
      <c r="J159" s="31"/>
      <c r="K159" s="31"/>
      <c r="AC159" s="45">
        <v>790</v>
      </c>
      <c r="AD159" s="46" t="s">
        <v>59</v>
      </c>
      <c r="AE159" s="46" t="s">
        <v>613</v>
      </c>
    </row>
    <row r="160" spans="1:31" ht="14.25" customHeight="1" x14ac:dyDescent="0.25">
      <c r="A160" s="53">
        <v>44318</v>
      </c>
      <c r="B160" s="39" t="s">
        <v>332</v>
      </c>
      <c r="C160" s="40">
        <v>782</v>
      </c>
      <c r="D160" s="26"/>
      <c r="E160" s="31"/>
      <c r="F160" s="31"/>
      <c r="G160" s="31" t="s">
        <v>618</v>
      </c>
      <c r="H160" s="39"/>
      <c r="I160" s="40"/>
      <c r="J160" s="31"/>
      <c r="K160" s="31"/>
      <c r="AC160" s="45">
        <v>800</v>
      </c>
      <c r="AD160" s="46" t="s">
        <v>445</v>
      </c>
      <c r="AE160" s="46" t="s">
        <v>613</v>
      </c>
    </row>
    <row r="161" spans="1:31" ht="14.25" customHeight="1" x14ac:dyDescent="0.25">
      <c r="A161" s="53">
        <v>44324</v>
      </c>
      <c r="B161" s="39" t="s">
        <v>348</v>
      </c>
      <c r="C161" s="40">
        <v>590</v>
      </c>
      <c r="D161" s="26"/>
      <c r="E161" s="31"/>
      <c r="F161" s="31"/>
      <c r="G161" s="31" t="s">
        <v>619</v>
      </c>
      <c r="H161" s="39"/>
      <c r="I161" s="40"/>
      <c r="J161" s="31"/>
      <c r="K161" s="31"/>
      <c r="AC161" s="45">
        <v>810</v>
      </c>
      <c r="AD161" s="46" t="s">
        <v>453</v>
      </c>
      <c r="AE161" s="46" t="s">
        <v>613</v>
      </c>
    </row>
    <row r="162" spans="1:31" ht="14.25" customHeight="1" x14ac:dyDescent="0.25">
      <c r="A162" s="53">
        <v>44295</v>
      </c>
      <c r="B162" s="39" t="s">
        <v>620</v>
      </c>
      <c r="C162" s="40">
        <v>592</v>
      </c>
      <c r="D162" s="26"/>
      <c r="E162" s="31"/>
      <c r="F162" s="31"/>
      <c r="G162" s="31" t="s">
        <v>621</v>
      </c>
      <c r="H162" s="39"/>
      <c r="I162" s="40"/>
      <c r="J162" s="31"/>
      <c r="K162" s="31"/>
      <c r="AC162" s="45">
        <v>792</v>
      </c>
      <c r="AD162" s="46" t="s">
        <v>462</v>
      </c>
      <c r="AE162" s="46" t="s">
        <v>613</v>
      </c>
    </row>
    <row r="163" spans="1:31" ht="14.25" customHeight="1" x14ac:dyDescent="0.25">
      <c r="A163" s="53">
        <v>44331</v>
      </c>
      <c r="B163" s="39" t="s">
        <v>377</v>
      </c>
      <c r="C163" s="40">
        <v>600</v>
      </c>
      <c r="D163" s="26"/>
      <c r="E163" s="31"/>
      <c r="F163" s="31"/>
      <c r="G163" s="31" t="s">
        <v>622</v>
      </c>
      <c r="H163" s="39"/>
      <c r="I163" s="40"/>
      <c r="J163" s="31"/>
      <c r="K163" s="31"/>
      <c r="AC163" s="45">
        <v>250</v>
      </c>
      <c r="AD163" s="46" t="s">
        <v>489</v>
      </c>
      <c r="AE163" s="46" t="s">
        <v>613</v>
      </c>
    </row>
    <row r="164" spans="1:31" ht="14.25" customHeight="1" x14ac:dyDescent="0.25">
      <c r="A164" s="53">
        <v>44332</v>
      </c>
      <c r="B164" s="39" t="s">
        <v>623</v>
      </c>
      <c r="C164" s="40">
        <v>591</v>
      </c>
      <c r="D164" s="26"/>
      <c r="E164" s="31"/>
      <c r="F164" s="31"/>
      <c r="G164" s="31" t="s">
        <v>624</v>
      </c>
      <c r="H164" s="39"/>
      <c r="I164" s="40"/>
      <c r="J164" s="31"/>
      <c r="K164" s="31"/>
      <c r="AC164" s="45">
        <v>814</v>
      </c>
      <c r="AD164" s="46" t="s">
        <v>457</v>
      </c>
      <c r="AE164" s="46" t="s">
        <v>613</v>
      </c>
    </row>
    <row r="165" spans="1:31" ht="14.25" customHeight="1" x14ac:dyDescent="0.25">
      <c r="A165" s="53">
        <v>44333</v>
      </c>
      <c r="B165" s="39" t="s">
        <v>381</v>
      </c>
      <c r="C165" s="40">
        <v>450</v>
      </c>
      <c r="D165" s="26"/>
      <c r="E165" s="31"/>
      <c r="F165" s="31"/>
      <c r="G165" s="31" t="s">
        <v>625</v>
      </c>
      <c r="H165" s="39"/>
      <c r="I165" s="40"/>
      <c r="J165" s="31"/>
      <c r="K165" s="31"/>
      <c r="AC165" s="45">
        <v>801</v>
      </c>
      <c r="AD165" s="46" t="s">
        <v>626</v>
      </c>
      <c r="AE165" s="46" t="s">
        <v>613</v>
      </c>
    </row>
    <row r="166" spans="1:31" ht="14.25" customHeight="1" x14ac:dyDescent="0.25">
      <c r="A166" s="53">
        <v>44338</v>
      </c>
      <c r="B166" s="39" t="s">
        <v>358</v>
      </c>
      <c r="C166" s="40">
        <v>451</v>
      </c>
      <c r="D166" s="26"/>
      <c r="E166" s="50"/>
      <c r="F166" s="31"/>
      <c r="G166" s="31" t="s">
        <v>627</v>
      </c>
      <c r="H166" s="39"/>
      <c r="I166" s="40"/>
      <c r="J166" s="31"/>
      <c r="K166" s="31"/>
      <c r="AC166" s="45">
        <v>802</v>
      </c>
      <c r="AD166" s="46" t="s">
        <v>449</v>
      </c>
      <c r="AE166" s="46" t="s">
        <v>613</v>
      </c>
    </row>
    <row r="167" spans="1:31" ht="14.25" customHeight="1" x14ac:dyDescent="0.25">
      <c r="A167" s="53">
        <v>44339</v>
      </c>
      <c r="B167" s="39" t="s">
        <v>369</v>
      </c>
      <c r="C167" s="40">
        <v>455</v>
      </c>
      <c r="D167" s="26"/>
      <c r="E167" s="31"/>
      <c r="F167" s="31"/>
      <c r="G167" s="31" t="s">
        <v>628</v>
      </c>
      <c r="H167" s="39"/>
      <c r="I167" s="40"/>
      <c r="J167" s="31"/>
      <c r="K167" s="31"/>
      <c r="AC167" s="45">
        <v>791</v>
      </c>
      <c r="AD167" s="46" t="s">
        <v>629</v>
      </c>
      <c r="AE167" s="46" t="s">
        <v>613</v>
      </c>
    </row>
    <row r="168" spans="1:31" ht="14.25" customHeight="1" x14ac:dyDescent="0.25">
      <c r="A168" s="53">
        <v>44345</v>
      </c>
      <c r="B168" s="39" t="s">
        <v>385</v>
      </c>
      <c r="C168" s="40">
        <v>460</v>
      </c>
      <c r="D168" s="26"/>
      <c r="E168" s="31"/>
      <c r="F168" s="31"/>
      <c r="G168" s="31" t="s">
        <v>630</v>
      </c>
      <c r="H168" s="39"/>
      <c r="I168" s="40"/>
      <c r="J168" s="31"/>
      <c r="K168" s="31"/>
      <c r="AC168" s="45">
        <v>813</v>
      </c>
      <c r="AD168" s="46" t="s">
        <v>483</v>
      </c>
      <c r="AE168" s="46" t="s">
        <v>613</v>
      </c>
    </row>
    <row r="169" spans="1:31" ht="14.25" customHeight="1" x14ac:dyDescent="0.25">
      <c r="A169" s="53">
        <v>44346</v>
      </c>
      <c r="B169" s="39" t="s">
        <v>631</v>
      </c>
      <c r="C169" s="40">
        <v>461</v>
      </c>
      <c r="D169" s="26"/>
      <c r="E169" s="31"/>
      <c r="F169" s="31"/>
      <c r="G169" s="31" t="s">
        <v>632</v>
      </c>
      <c r="H169" s="39"/>
      <c r="I169" s="40"/>
      <c r="J169" s="31"/>
      <c r="K169" s="31"/>
      <c r="AC169" s="45">
        <v>795</v>
      </c>
      <c r="AD169" s="46" t="s">
        <v>441</v>
      </c>
      <c r="AE169" s="46" t="s">
        <v>613</v>
      </c>
    </row>
    <row r="170" spans="1:31" ht="14.25" customHeight="1" x14ac:dyDescent="0.25">
      <c r="A170" s="53">
        <v>44352</v>
      </c>
      <c r="B170" s="39" t="s">
        <v>633</v>
      </c>
      <c r="C170" s="40">
        <v>452</v>
      </c>
      <c r="D170" s="26"/>
      <c r="E170" s="31"/>
      <c r="F170" s="31"/>
      <c r="G170" s="31" t="s">
        <v>634</v>
      </c>
      <c r="H170" s="39"/>
      <c r="I170" s="40"/>
      <c r="J170" s="31"/>
      <c r="K170" s="31"/>
      <c r="AC170" s="45">
        <v>815</v>
      </c>
      <c r="AD170" s="46" t="s">
        <v>477</v>
      </c>
      <c r="AE170" s="46" t="s">
        <v>613</v>
      </c>
    </row>
    <row r="171" spans="1:31" ht="14.25" customHeight="1" x14ac:dyDescent="0.25">
      <c r="A171" s="53">
        <v>44353</v>
      </c>
      <c r="B171" s="39" t="s">
        <v>373</v>
      </c>
      <c r="C171" s="40">
        <v>540</v>
      </c>
      <c r="D171" s="26"/>
      <c r="E171" s="31"/>
      <c r="F171" s="31"/>
      <c r="G171" s="31" t="s">
        <v>635</v>
      </c>
      <c r="H171" s="39"/>
      <c r="I171" s="40"/>
      <c r="J171" s="31"/>
      <c r="K171" s="31"/>
      <c r="AC171" s="45">
        <v>401</v>
      </c>
      <c r="AD171" s="46" t="s">
        <v>291</v>
      </c>
      <c r="AE171" s="46" t="s">
        <v>636</v>
      </c>
    </row>
    <row r="172" spans="1:31" ht="14.25" customHeight="1" x14ac:dyDescent="0.25">
      <c r="A172" s="53">
        <v>44354</v>
      </c>
      <c r="B172" s="39" t="s">
        <v>637</v>
      </c>
      <c r="C172" s="40">
        <v>613</v>
      </c>
      <c r="D172" s="26"/>
      <c r="E172" s="31"/>
      <c r="F172" s="31"/>
      <c r="G172" s="31" t="s">
        <v>638</v>
      </c>
      <c r="H172" s="39"/>
      <c r="I172" s="40"/>
      <c r="J172" s="31"/>
      <c r="K172" s="31"/>
      <c r="AC172" s="45">
        <v>861</v>
      </c>
      <c r="AD172" s="46" t="s">
        <v>336</v>
      </c>
      <c r="AE172" s="46" t="s">
        <v>636</v>
      </c>
    </row>
    <row r="173" spans="1:31" ht="14.25" customHeight="1" x14ac:dyDescent="0.25">
      <c r="A173" s="53">
        <v>44359</v>
      </c>
      <c r="B173" s="39" t="s">
        <v>639</v>
      </c>
      <c r="C173" s="40">
        <v>633</v>
      </c>
      <c r="D173" s="26"/>
      <c r="E173" s="31"/>
      <c r="F173" s="31"/>
      <c r="G173" s="31" t="s">
        <v>640</v>
      </c>
      <c r="H173" s="39"/>
      <c r="I173" s="40"/>
      <c r="J173" s="31"/>
      <c r="K173" s="31"/>
      <c r="AC173" s="45">
        <v>841</v>
      </c>
      <c r="AD173" s="46" t="s">
        <v>304</v>
      </c>
      <c r="AE173" s="46" t="s">
        <v>636</v>
      </c>
    </row>
    <row r="174" spans="1:31" ht="14.25" customHeight="1" x14ac:dyDescent="0.25">
      <c r="A174" s="53">
        <v>44360</v>
      </c>
      <c r="B174" s="39" t="s">
        <v>641</v>
      </c>
      <c r="C174" s="40">
        <v>842</v>
      </c>
      <c r="D174" s="26"/>
      <c r="E174" s="31"/>
      <c r="F174" s="31"/>
      <c r="G174" s="31" t="s">
        <v>642</v>
      </c>
      <c r="H174" s="39"/>
      <c r="I174" s="40"/>
      <c r="J174" s="31"/>
      <c r="K174" s="31"/>
      <c r="AC174" s="45">
        <v>842</v>
      </c>
      <c r="AD174" s="46" t="s">
        <v>641</v>
      </c>
      <c r="AE174" s="46" t="s">
        <v>636</v>
      </c>
    </row>
    <row r="175" spans="1:31" ht="14.25" customHeight="1" x14ac:dyDescent="0.25">
      <c r="A175" s="53">
        <v>44361</v>
      </c>
      <c r="B175" s="39" t="s">
        <v>643</v>
      </c>
      <c r="C175" s="40">
        <v>523</v>
      </c>
      <c r="D175" s="54"/>
      <c r="E175" s="31"/>
      <c r="F175" s="31"/>
      <c r="G175" s="31" t="s">
        <v>644</v>
      </c>
      <c r="H175" s="39"/>
      <c r="I175" s="40"/>
      <c r="J175" s="31"/>
      <c r="K175" s="31"/>
      <c r="AC175" s="45">
        <v>830</v>
      </c>
      <c r="AD175" s="46" t="s">
        <v>300</v>
      </c>
      <c r="AE175" s="46" t="s">
        <v>636</v>
      </c>
    </row>
    <row r="176" spans="1:31" ht="14.25" customHeight="1" x14ac:dyDescent="0.25">
      <c r="A176" s="53">
        <v>44366</v>
      </c>
      <c r="B176" s="39" t="s">
        <v>580</v>
      </c>
      <c r="C176" s="40">
        <v>682</v>
      </c>
      <c r="D176" s="26"/>
      <c r="E176" s="31"/>
      <c r="F176" s="31"/>
      <c r="G176" s="31" t="s">
        <v>645</v>
      </c>
      <c r="H176" s="39"/>
      <c r="I176" s="40"/>
      <c r="J176" s="31"/>
      <c r="K176" s="31"/>
      <c r="AC176" s="45">
        <v>840</v>
      </c>
      <c r="AD176" s="46" t="s">
        <v>311</v>
      </c>
      <c r="AE176" s="46" t="s">
        <v>636</v>
      </c>
    </row>
    <row r="177" spans="1:31" ht="14.25" customHeight="1" x14ac:dyDescent="0.25">
      <c r="A177" s="53">
        <v>44367</v>
      </c>
      <c r="B177" s="39" t="s">
        <v>646</v>
      </c>
      <c r="C177" s="40">
        <v>233</v>
      </c>
      <c r="D177" s="26"/>
      <c r="E177" s="50"/>
      <c r="F177" s="31"/>
      <c r="G177" s="31" t="s">
        <v>647</v>
      </c>
      <c r="H177" s="39"/>
      <c r="I177" s="40"/>
      <c r="J177" s="31"/>
      <c r="K177" s="31"/>
      <c r="AC177" s="45">
        <v>831</v>
      </c>
      <c r="AD177" s="46" t="s">
        <v>308</v>
      </c>
      <c r="AE177" s="46" t="s">
        <v>636</v>
      </c>
    </row>
    <row r="178" spans="1:31" ht="14.25" customHeight="1" x14ac:dyDescent="0.25">
      <c r="A178" s="53">
        <v>44373</v>
      </c>
      <c r="B178" s="39" t="s">
        <v>648</v>
      </c>
      <c r="C178" s="40">
        <v>733</v>
      </c>
      <c r="D178" s="26"/>
      <c r="E178" s="31"/>
      <c r="F178" s="31"/>
      <c r="G178" s="31" t="s">
        <v>649</v>
      </c>
      <c r="H178" s="39"/>
      <c r="I178" s="40"/>
      <c r="J178" s="31"/>
      <c r="K178" s="31"/>
      <c r="AC178" s="45">
        <v>820</v>
      </c>
      <c r="AD178" s="46" t="s">
        <v>294</v>
      </c>
      <c r="AE178" s="46" t="s">
        <v>636</v>
      </c>
    </row>
    <row r="179" spans="1:31" ht="14.25" customHeight="1" x14ac:dyDescent="0.25">
      <c r="A179" s="53">
        <v>44374</v>
      </c>
      <c r="B179" s="39" t="s">
        <v>650</v>
      </c>
      <c r="C179" s="40">
        <v>673</v>
      </c>
      <c r="D179" s="26"/>
      <c r="E179" s="31"/>
      <c r="F179" s="31"/>
      <c r="G179" s="31" t="s">
        <v>651</v>
      </c>
      <c r="H179" s="39"/>
      <c r="I179" s="40"/>
      <c r="J179" s="31"/>
      <c r="K179" s="31"/>
      <c r="AC179" s="45">
        <v>822</v>
      </c>
      <c r="AD179" s="46" t="s">
        <v>73</v>
      </c>
      <c r="AE179" s="46" t="s">
        <v>636</v>
      </c>
    </row>
    <row r="180" spans="1:31" ht="14.25" customHeight="1" x14ac:dyDescent="0.25">
      <c r="A180" s="53">
        <v>44380</v>
      </c>
      <c r="B180" s="29" t="s">
        <v>652</v>
      </c>
      <c r="C180" s="40">
        <v>748</v>
      </c>
      <c r="D180" s="26"/>
      <c r="E180" s="31"/>
      <c r="F180" s="31"/>
      <c r="G180" s="31" t="s">
        <v>653</v>
      </c>
      <c r="H180" s="31"/>
      <c r="I180" s="31"/>
      <c r="J180" s="31"/>
      <c r="K180" s="31"/>
      <c r="AC180" s="45">
        <v>850</v>
      </c>
      <c r="AD180" s="46" t="s">
        <v>315</v>
      </c>
      <c r="AE180" s="46" t="s">
        <v>636</v>
      </c>
    </row>
    <row r="181" spans="1:31" ht="14.25" customHeight="1" x14ac:dyDescent="0.25">
      <c r="A181" s="53">
        <v>44381</v>
      </c>
      <c r="B181" s="55" t="s">
        <v>488</v>
      </c>
      <c r="C181" s="40">
        <v>246</v>
      </c>
      <c r="D181" s="26"/>
      <c r="E181" s="31"/>
      <c r="F181" s="31"/>
      <c r="G181" s="31" t="s">
        <v>654</v>
      </c>
      <c r="H181" s="31"/>
      <c r="I181" s="31"/>
      <c r="J181" s="31"/>
      <c r="K181" s="31"/>
      <c r="AC181" s="45">
        <v>870</v>
      </c>
      <c r="AD181" s="46" t="s">
        <v>321</v>
      </c>
      <c r="AE181" s="46" t="s">
        <v>636</v>
      </c>
    </row>
    <row r="182" spans="1:31" ht="14.25" customHeight="1" x14ac:dyDescent="0.25">
      <c r="A182" s="53">
        <v>44382</v>
      </c>
      <c r="B182" s="31" t="s">
        <v>216</v>
      </c>
      <c r="C182" s="40">
        <v>376</v>
      </c>
      <c r="D182" s="26"/>
      <c r="E182" s="31"/>
      <c r="F182" s="31"/>
      <c r="G182" s="31" t="s">
        <v>655</v>
      </c>
      <c r="H182" s="31"/>
      <c r="I182" s="31"/>
      <c r="J182" s="31"/>
      <c r="K182" s="31"/>
      <c r="AC182" s="45">
        <v>852</v>
      </c>
      <c r="AD182" s="46" t="s">
        <v>68</v>
      </c>
      <c r="AE182" s="46" t="s">
        <v>636</v>
      </c>
    </row>
    <row r="183" spans="1:31" ht="14.25" customHeight="1" x14ac:dyDescent="0.25">
      <c r="A183" s="53">
        <v>44387</v>
      </c>
      <c r="B183" s="31" t="s">
        <v>497</v>
      </c>
      <c r="C183" s="40">
        <v>219</v>
      </c>
      <c r="D183" s="26"/>
      <c r="E183" s="31"/>
      <c r="F183" s="31"/>
      <c r="G183" s="31" t="s">
        <v>487</v>
      </c>
      <c r="H183" s="31"/>
      <c r="I183" s="31"/>
      <c r="J183" s="31"/>
      <c r="K183" s="31"/>
      <c r="AC183" s="45">
        <v>851</v>
      </c>
      <c r="AD183" s="46" t="s">
        <v>340</v>
      </c>
      <c r="AE183" s="46" t="s">
        <v>636</v>
      </c>
    </row>
    <row r="184" spans="1:31" ht="14.25" customHeight="1" x14ac:dyDescent="0.25">
      <c r="A184" s="53">
        <v>44388</v>
      </c>
      <c r="B184" s="87" t="s">
        <v>656</v>
      </c>
      <c r="C184" s="88"/>
      <c r="D184" s="88"/>
      <c r="E184" s="31"/>
      <c r="F184" s="31"/>
      <c r="G184" s="31" t="s">
        <v>657</v>
      </c>
      <c r="H184" s="31"/>
      <c r="I184" s="31"/>
      <c r="J184" s="31"/>
      <c r="K184" s="31"/>
      <c r="AC184" s="45">
        <v>404</v>
      </c>
      <c r="AD184" s="46" t="s">
        <v>658</v>
      </c>
      <c r="AE184" s="46" t="s">
        <v>636</v>
      </c>
    </row>
    <row r="185" spans="1:31" ht="14.25" customHeight="1" x14ac:dyDescent="0.25">
      <c r="A185" s="53">
        <v>44394</v>
      </c>
      <c r="B185" s="31"/>
      <c r="C185" s="56" t="s">
        <v>127</v>
      </c>
      <c r="D185" s="57" t="s">
        <v>125</v>
      </c>
      <c r="E185" s="57" t="s">
        <v>126</v>
      </c>
      <c r="F185" s="57" t="s">
        <v>659</v>
      </c>
      <c r="G185" s="57" t="s">
        <v>660</v>
      </c>
      <c r="H185" s="57" t="s">
        <v>661</v>
      </c>
      <c r="I185" s="58" t="s">
        <v>662</v>
      </c>
      <c r="J185" s="21"/>
      <c r="K185" s="31"/>
      <c r="AC185" s="45">
        <v>863</v>
      </c>
      <c r="AD185" s="46" t="s">
        <v>663</v>
      </c>
      <c r="AE185" s="46" t="s">
        <v>636</v>
      </c>
    </row>
    <row r="186" spans="1:31" ht="14.25" customHeight="1" x14ac:dyDescent="0.25">
      <c r="A186" s="53">
        <v>44395</v>
      </c>
      <c r="B186" s="31"/>
      <c r="C186" s="37" t="s">
        <v>145</v>
      </c>
      <c r="D186" s="59">
        <v>381</v>
      </c>
      <c r="E186" s="46" t="s">
        <v>164</v>
      </c>
      <c r="F186" s="59">
        <v>381</v>
      </c>
      <c r="G186" s="37" t="s">
        <v>145</v>
      </c>
      <c r="H186" s="36">
        <v>3187162692</v>
      </c>
      <c r="I186" s="36">
        <v>2330</v>
      </c>
      <c r="J186" s="60"/>
      <c r="K186" s="31"/>
      <c r="L186" s="19" t="str">
        <f ca="1">IFERROR(__xludf.DUMMYFUNCTION("UNIQUE(E186:E563)"),"El Bordo")</f>
        <v>El Bordo</v>
      </c>
      <c r="M186" s="19" t="str">
        <f ca="1">IFERROR(__xludf.DUMMYFUNCTION("QUERY(C186:E563,""SELECT * WHERE ( E like  '%""&amp;L186&amp;""%') limit 1"")"),"Cauca")</f>
        <v>Cauca</v>
      </c>
      <c r="N186" s="19">
        <f ca="1">IFERROR(__xludf.DUMMYFUNCTION("""COMPUTED_VALUE"""),381)</f>
        <v>381</v>
      </c>
      <c r="O186" s="19" t="str">
        <f ca="1">IFERROR(__xludf.DUMMYFUNCTION("""COMPUTED_VALUE"""),"El Bordo")</f>
        <v>El Bordo</v>
      </c>
      <c r="AC186" s="45">
        <v>862</v>
      </c>
      <c r="AD186" s="46" t="s">
        <v>330</v>
      </c>
      <c r="AE186" s="46" t="s">
        <v>636</v>
      </c>
    </row>
    <row r="187" spans="1:31" ht="14.25" customHeight="1" x14ac:dyDescent="0.25">
      <c r="A187" s="53">
        <v>44397</v>
      </c>
      <c r="B187" s="31"/>
      <c r="C187" s="37" t="s">
        <v>145</v>
      </c>
      <c r="D187" s="59">
        <v>401</v>
      </c>
      <c r="E187" s="46" t="s">
        <v>291</v>
      </c>
      <c r="F187" s="59">
        <v>401</v>
      </c>
      <c r="G187" s="37" t="s">
        <v>145</v>
      </c>
      <c r="H187" s="36">
        <v>3183366883</v>
      </c>
      <c r="I187" s="36">
        <v>2118</v>
      </c>
      <c r="J187" s="60"/>
      <c r="K187" s="31"/>
      <c r="L187" s="19" t="str">
        <f ca="1">IFERROR(__xludf.DUMMYFUNCTION("""COMPUTED_VALUE"""),"Jamundi")</f>
        <v>Jamundi</v>
      </c>
      <c r="M187" s="19" t="str">
        <f ca="1">IFERROR(__xludf.DUMMYFUNCTION("QUERY(C187:E564,""SELECT * WHERE ( E like  '%""&amp;L187&amp;""%') limit 1"")"),"Cauca")</f>
        <v>Cauca</v>
      </c>
      <c r="N187" s="19">
        <f ca="1">IFERROR(__xludf.DUMMYFUNCTION("""COMPUTED_VALUE"""),401)</f>
        <v>401</v>
      </c>
      <c r="O187" s="19" t="str">
        <f ca="1">IFERROR(__xludf.DUMMYFUNCTION("""COMPUTED_VALUE"""),"Jamundi")</f>
        <v>Jamundi</v>
      </c>
      <c r="AC187" s="45">
        <v>860</v>
      </c>
      <c r="AD187" s="46" t="s">
        <v>327</v>
      </c>
      <c r="AE187" s="46" t="s">
        <v>636</v>
      </c>
    </row>
    <row r="188" spans="1:31" ht="14.25" customHeight="1" x14ac:dyDescent="0.25">
      <c r="A188" s="53">
        <v>44401</v>
      </c>
      <c r="B188" s="31"/>
      <c r="C188" s="37" t="s">
        <v>145</v>
      </c>
      <c r="D188" s="59">
        <v>382</v>
      </c>
      <c r="E188" s="46" t="s">
        <v>178</v>
      </c>
      <c r="F188" s="59">
        <v>382</v>
      </c>
      <c r="G188" s="37" t="s">
        <v>145</v>
      </c>
      <c r="H188" s="36">
        <v>3156701582</v>
      </c>
      <c r="I188" s="36">
        <v>4028</v>
      </c>
      <c r="J188" s="60"/>
      <c r="K188" s="31"/>
      <c r="L188" s="19" t="str">
        <f ca="1">IFERROR(__xludf.DUMMYFUNCTION("""COMPUTED_VALUE"""),"Pda Balboa")</f>
        <v>Pda Balboa</v>
      </c>
      <c r="M188" s="19" t="str">
        <f ca="1">IFERROR(__xludf.DUMMYFUNCTION("QUERY(C188:E565,""SELECT * WHERE ( E like  '%""&amp;L188&amp;""%') limit 1"")"),"Cauca")</f>
        <v>Cauca</v>
      </c>
      <c r="N188" s="19">
        <f ca="1">IFERROR(__xludf.DUMMYFUNCTION("""COMPUTED_VALUE"""),382)</f>
        <v>382</v>
      </c>
      <c r="O188" s="19" t="str">
        <f ca="1">IFERROR(__xludf.DUMMYFUNCTION("""COMPUTED_VALUE"""),"Pda Balboa")</f>
        <v>Pda Balboa</v>
      </c>
    </row>
    <row r="189" spans="1:31" ht="14.25" customHeight="1" x14ac:dyDescent="0.25">
      <c r="A189" s="53">
        <v>44402</v>
      </c>
      <c r="B189" s="31"/>
      <c r="C189" s="37" t="s">
        <v>145</v>
      </c>
      <c r="D189" s="59">
        <v>395</v>
      </c>
      <c r="E189" s="46" t="s">
        <v>664</v>
      </c>
      <c r="F189" s="59">
        <v>395</v>
      </c>
      <c r="G189" s="37" t="s">
        <v>145</v>
      </c>
      <c r="H189" s="36">
        <v>3104758291</v>
      </c>
      <c r="I189" s="36">
        <v>4017</v>
      </c>
      <c r="J189" s="60"/>
      <c r="K189" s="31"/>
      <c r="L189" s="19" t="str">
        <f ca="1">IFERROR(__xludf.DUMMYFUNCTION("""COMPUTED_VALUE"""),"Pda Bella Vista")</f>
        <v>Pda Bella Vista</v>
      </c>
      <c r="M189" s="19" t="str">
        <f ca="1">IFERROR(__xludf.DUMMYFUNCTION("QUERY(C189:E566,""SELECT * WHERE ( E like  '%""&amp;L189&amp;""%') limit 1"")"),"Cauca")</f>
        <v>Cauca</v>
      </c>
      <c r="N189" s="19">
        <f ca="1">IFERROR(__xludf.DUMMYFUNCTION("""COMPUTED_VALUE"""),395)</f>
        <v>395</v>
      </c>
      <c r="O189" s="19" t="str">
        <f ca="1">IFERROR(__xludf.DUMMYFUNCTION("""COMPUTED_VALUE"""),"Pda Bella Vista")</f>
        <v>Pda Bella Vista</v>
      </c>
    </row>
    <row r="190" spans="1:31" ht="14.25" customHeight="1" x14ac:dyDescent="0.25">
      <c r="A190" s="53">
        <v>44408</v>
      </c>
      <c r="B190" s="31"/>
      <c r="C190" s="37" t="s">
        <v>145</v>
      </c>
      <c r="D190" s="59">
        <v>373</v>
      </c>
      <c r="E190" s="46" t="s">
        <v>197</v>
      </c>
      <c r="F190" s="59">
        <v>373</v>
      </c>
      <c r="G190" s="37" t="s">
        <v>145</v>
      </c>
      <c r="H190" s="36">
        <v>3182528498</v>
      </c>
      <c r="I190" s="36">
        <v>4031</v>
      </c>
      <c r="J190" s="60"/>
      <c r="K190" s="31"/>
      <c r="L190" s="19" t="str">
        <f ca="1">IFERROR(__xludf.DUMMYFUNCTION("""COMPUTED_VALUE"""),"Pda Bolivar")</f>
        <v>Pda Bolivar</v>
      </c>
      <c r="M190" s="19" t="str">
        <f ca="1">IFERROR(__xludf.DUMMYFUNCTION("QUERY(C190:E567,""SELECT * WHERE ( E like  '%""&amp;L190&amp;""%') limit 1"")"),"Cauca")</f>
        <v>Cauca</v>
      </c>
      <c r="N190" s="19">
        <f ca="1">IFERROR(__xludf.DUMMYFUNCTION("""COMPUTED_VALUE"""),373)</f>
        <v>373</v>
      </c>
      <c r="O190" s="19" t="str">
        <f ca="1">IFERROR(__xludf.DUMMYFUNCTION("""COMPUTED_VALUE"""),"Pda Bolivar")</f>
        <v>Pda Bolivar</v>
      </c>
    </row>
    <row r="191" spans="1:31" ht="14.25" customHeight="1" x14ac:dyDescent="0.25">
      <c r="A191" s="53">
        <v>44409</v>
      </c>
      <c r="B191" s="31"/>
      <c r="C191" s="37" t="s">
        <v>145</v>
      </c>
      <c r="D191" s="59">
        <v>383</v>
      </c>
      <c r="E191" s="46" t="s">
        <v>208</v>
      </c>
      <c r="F191" s="59">
        <v>383</v>
      </c>
      <c r="G191" s="37" t="s">
        <v>145</v>
      </c>
      <c r="H191" s="36">
        <v>3188032218</v>
      </c>
      <c r="I191" s="36">
        <v>4131</v>
      </c>
      <c r="J191" s="60"/>
      <c r="K191" s="31"/>
      <c r="L191" s="19" t="str">
        <f ca="1">IFERROR(__xludf.DUMMYFUNCTION("""COMPUTED_VALUE"""),"Pda El Tambo")</f>
        <v>Pda El Tambo</v>
      </c>
      <c r="M191" s="19" t="str">
        <f ca="1">IFERROR(__xludf.DUMMYFUNCTION("QUERY(C191:E568,""SELECT * WHERE ( E like  '%""&amp;L191&amp;""%') limit 1"")"),"Cauca")</f>
        <v>Cauca</v>
      </c>
      <c r="N191" s="19">
        <f ca="1">IFERROR(__xludf.DUMMYFUNCTION("""COMPUTED_VALUE"""),383)</f>
        <v>383</v>
      </c>
      <c r="O191" s="19" t="str">
        <f ca="1">IFERROR(__xludf.DUMMYFUNCTION("""COMPUTED_VALUE"""),"Pda El Tambo")</f>
        <v>Pda El Tambo</v>
      </c>
    </row>
    <row r="192" spans="1:31" ht="14.25" customHeight="1" x14ac:dyDescent="0.25">
      <c r="A192" s="53">
        <v>44415</v>
      </c>
      <c r="B192" s="31"/>
      <c r="C192" s="37" t="s">
        <v>145</v>
      </c>
      <c r="D192" s="59">
        <v>376</v>
      </c>
      <c r="E192" s="46" t="s">
        <v>665</v>
      </c>
      <c r="F192" s="59">
        <v>376</v>
      </c>
      <c r="G192" s="37" t="s">
        <v>145</v>
      </c>
      <c r="H192" s="36">
        <v>3116456496</v>
      </c>
      <c r="I192" s="36">
        <v>4151</v>
      </c>
      <c r="J192" s="60"/>
      <c r="K192" s="31"/>
      <c r="L192" s="19" t="str">
        <f ca="1">IFERROR(__xludf.DUMMYFUNCTION("""COMPUTED_VALUE"""),"PDA La Vega")</f>
        <v>PDA La Vega</v>
      </c>
      <c r="M192" s="19" t="str">
        <f ca="1">IFERROR(__xludf.DUMMYFUNCTION("QUERY(C192:E569,""SELECT * WHERE ( E like  '%""&amp;L192&amp;""%') limit 1"")"),"Cauca")</f>
        <v>Cauca</v>
      </c>
      <c r="N192" s="19">
        <f ca="1">IFERROR(__xludf.DUMMYFUNCTION("""COMPUTED_VALUE"""),376)</f>
        <v>376</v>
      </c>
      <c r="O192" s="19" t="str">
        <f ca="1">IFERROR(__xludf.DUMMYFUNCTION("""COMPUTED_VALUE"""),"PDA La Vega")</f>
        <v>PDA La Vega</v>
      </c>
    </row>
    <row r="193" spans="1:15" ht="14.25" customHeight="1" x14ac:dyDescent="0.25">
      <c r="A193" s="53">
        <v>44416</v>
      </c>
      <c r="B193" s="31"/>
      <c r="C193" s="37" t="s">
        <v>145</v>
      </c>
      <c r="D193" s="59">
        <v>371</v>
      </c>
      <c r="E193" s="46" t="s">
        <v>224</v>
      </c>
      <c r="F193" s="59">
        <v>371</v>
      </c>
      <c r="G193" s="37" t="s">
        <v>145</v>
      </c>
      <c r="H193" s="36">
        <v>3168743289</v>
      </c>
      <c r="I193" s="36">
        <v>4079</v>
      </c>
      <c r="J193" s="60"/>
      <c r="K193" s="31"/>
      <c r="L193" s="19" t="str">
        <f ca="1">IFERROR(__xludf.DUMMYFUNCTION("""COMPUTED_VALUE"""),"Pda Mercaderes")</f>
        <v>Pda Mercaderes</v>
      </c>
      <c r="M193" s="19" t="str">
        <f ca="1">IFERROR(__xludf.DUMMYFUNCTION("QUERY(C193:E570,""SELECT * WHERE ( E like  '%""&amp;L193&amp;""%') limit 1"")"),"Cauca")</f>
        <v>Cauca</v>
      </c>
      <c r="N193" s="19">
        <f ca="1">IFERROR(__xludf.DUMMYFUNCTION("""COMPUTED_VALUE"""),371)</f>
        <v>371</v>
      </c>
      <c r="O193" s="19" t="str">
        <f ca="1">IFERROR(__xludf.DUMMYFUNCTION("""COMPUTED_VALUE"""),"Pda Mercaderes")</f>
        <v>Pda Mercaderes</v>
      </c>
    </row>
    <row r="194" spans="1:15" ht="14.25" customHeight="1" x14ac:dyDescent="0.25">
      <c r="A194" s="53">
        <v>44422</v>
      </c>
      <c r="B194" s="31"/>
      <c r="C194" s="37" t="s">
        <v>145</v>
      </c>
      <c r="D194" s="59">
        <v>402</v>
      </c>
      <c r="E194" s="46" t="s">
        <v>285</v>
      </c>
      <c r="F194" s="59">
        <v>402</v>
      </c>
      <c r="G194" s="37" t="s">
        <v>145</v>
      </c>
      <c r="H194" s="36">
        <v>3174308442</v>
      </c>
      <c r="I194" s="36">
        <v>4093</v>
      </c>
      <c r="J194" s="60"/>
      <c r="K194" s="31"/>
      <c r="L194" s="19" t="str">
        <f ca="1">IFERROR(__xludf.DUMMYFUNCTION("""COMPUTED_VALUE"""),"Pda Puerto Tejada")</f>
        <v>Pda Puerto Tejada</v>
      </c>
      <c r="M194" s="19" t="str">
        <f ca="1">IFERROR(__xludf.DUMMYFUNCTION("QUERY(C194:E571,""SELECT * WHERE ( E like  '%""&amp;L194&amp;""%') limit 1"")"),"Cauca")</f>
        <v>Cauca</v>
      </c>
      <c r="N194" s="19">
        <f ca="1">IFERROR(__xludf.DUMMYFUNCTION("""COMPUTED_VALUE"""),402)</f>
        <v>402</v>
      </c>
      <c r="O194" s="19" t="str">
        <f ca="1">IFERROR(__xludf.DUMMYFUNCTION("""COMPUTED_VALUE"""),"Pda Puerto Tejada")</f>
        <v>Pda Puerto Tejada</v>
      </c>
    </row>
    <row r="195" spans="1:15" ht="14.25" customHeight="1" x14ac:dyDescent="0.25">
      <c r="A195" s="53">
        <v>44423</v>
      </c>
      <c r="B195" s="31"/>
      <c r="C195" s="37" t="s">
        <v>145</v>
      </c>
      <c r="D195" s="59">
        <v>391</v>
      </c>
      <c r="E195" s="46" t="s">
        <v>239</v>
      </c>
      <c r="F195" s="59">
        <v>391</v>
      </c>
      <c r="G195" s="37" t="s">
        <v>145</v>
      </c>
      <c r="H195" s="36">
        <v>3184561654</v>
      </c>
      <c r="I195" s="36">
        <v>2374</v>
      </c>
      <c r="J195" s="60"/>
      <c r="K195" s="31"/>
      <c r="L195" s="19" t="str">
        <f ca="1">IFERROR(__xludf.DUMMYFUNCTION("""COMPUTED_VALUE"""),"Piendamo")</f>
        <v>Piendamo</v>
      </c>
      <c r="M195" s="19" t="str">
        <f ca="1">IFERROR(__xludf.DUMMYFUNCTION("QUERY(C195:E572,""SELECT * WHERE ( E like  '%""&amp;L195&amp;""%') limit 1"")"),"Cauca")</f>
        <v>Cauca</v>
      </c>
      <c r="N195" s="19">
        <f ca="1">IFERROR(__xludf.DUMMYFUNCTION("""COMPUTED_VALUE"""),391)</f>
        <v>391</v>
      </c>
      <c r="O195" s="19" t="str">
        <f ca="1">IFERROR(__xludf.DUMMYFUNCTION("""COMPUTED_VALUE"""),"Piendamo")</f>
        <v>Piendamo</v>
      </c>
    </row>
    <row r="196" spans="1:15" ht="14.25" customHeight="1" x14ac:dyDescent="0.25">
      <c r="A196" s="53">
        <v>44424</v>
      </c>
      <c r="B196" s="31"/>
      <c r="C196" s="37" t="s">
        <v>145</v>
      </c>
      <c r="D196" s="59">
        <v>390</v>
      </c>
      <c r="E196" s="46" t="s">
        <v>243</v>
      </c>
      <c r="F196" s="59">
        <v>390</v>
      </c>
      <c r="G196" s="37" t="s">
        <v>145</v>
      </c>
      <c r="H196" s="36">
        <v>3187124949</v>
      </c>
      <c r="I196" s="36">
        <v>2214</v>
      </c>
      <c r="J196" s="60"/>
      <c r="K196" s="31"/>
      <c r="L196" s="19" t="str">
        <f ca="1">IFERROR(__xludf.DUMMYFUNCTION("""COMPUTED_VALUE"""),"Popayan Ciudad Jardin")</f>
        <v>Popayan Ciudad Jardin</v>
      </c>
      <c r="M196" s="19" t="str">
        <f ca="1">IFERROR(__xludf.DUMMYFUNCTION("QUERY(C196:E573,""SELECT * WHERE ( E like  '%""&amp;L196&amp;""%') limit 1"")"),"Cauca")</f>
        <v>Cauca</v>
      </c>
      <c r="N196" s="19">
        <f ca="1">IFERROR(__xludf.DUMMYFUNCTION("""COMPUTED_VALUE"""),390)</f>
        <v>390</v>
      </c>
      <c r="O196" s="19" t="str">
        <f ca="1">IFERROR(__xludf.DUMMYFUNCTION("""COMPUTED_VALUE"""),"Popayan Ciudad Jardin")</f>
        <v>Popayan Ciudad Jardin</v>
      </c>
    </row>
    <row r="197" spans="1:15" ht="14.25" customHeight="1" x14ac:dyDescent="0.25">
      <c r="A197" s="53">
        <v>44429</v>
      </c>
      <c r="B197" s="31"/>
      <c r="C197" s="37" t="s">
        <v>145</v>
      </c>
      <c r="D197" s="59">
        <v>380</v>
      </c>
      <c r="E197" s="46" t="s">
        <v>248</v>
      </c>
      <c r="F197" s="59">
        <v>380</v>
      </c>
      <c r="G197" s="37" t="s">
        <v>145</v>
      </c>
      <c r="H197" s="36">
        <v>3183729173</v>
      </c>
      <c r="I197" s="36">
        <v>2210</v>
      </c>
      <c r="J197" s="60"/>
      <c r="K197" s="31"/>
      <c r="L197" s="19" t="str">
        <f ca="1">IFERROR(__xludf.DUMMYFUNCTION("""COMPUTED_VALUE"""),"Popayan Obando")</f>
        <v>Popayan Obando</v>
      </c>
      <c r="M197" s="19" t="str">
        <f ca="1">IFERROR(__xludf.DUMMYFUNCTION("QUERY(C197:E574,""SELECT * WHERE ( E like  '%""&amp;L197&amp;""%') limit 1"")"),"Cauca")</f>
        <v>Cauca</v>
      </c>
      <c r="N197" s="19">
        <f ca="1">IFERROR(__xludf.DUMMYFUNCTION("""COMPUTED_VALUE"""),380)</f>
        <v>380</v>
      </c>
      <c r="O197" s="19" t="str">
        <f ca="1">IFERROR(__xludf.DUMMYFUNCTION("""COMPUTED_VALUE"""),"Popayan Obando")</f>
        <v>Popayan Obando</v>
      </c>
    </row>
    <row r="198" spans="1:15" ht="14.25" customHeight="1" x14ac:dyDescent="0.25">
      <c r="A198" s="53">
        <v>44430</v>
      </c>
      <c r="B198" s="31"/>
      <c r="C198" s="37" t="s">
        <v>145</v>
      </c>
      <c r="D198" s="59">
        <v>370</v>
      </c>
      <c r="E198" s="46" t="s">
        <v>48</v>
      </c>
      <c r="F198" s="59">
        <v>370</v>
      </c>
      <c r="G198" s="37" t="s">
        <v>145</v>
      </c>
      <c r="H198" s="36">
        <v>3186516221</v>
      </c>
      <c r="I198" s="36">
        <v>2206</v>
      </c>
      <c r="J198" s="60"/>
      <c r="K198" s="31"/>
      <c r="L198" s="19" t="str">
        <f ca="1">IFERROR(__xludf.DUMMYFUNCTION("""COMPUTED_VALUE"""),"Popayan Valencia")</f>
        <v>Popayan Valencia</v>
      </c>
      <c r="M198" s="19" t="str">
        <f ca="1">IFERROR(__xludf.DUMMYFUNCTION("QUERY(C198:E575,""SELECT * WHERE ( E like  '%""&amp;L198&amp;""%') limit 1"")"),"Cauca")</f>
        <v>Cauca</v>
      </c>
      <c r="N198" s="19">
        <f ca="1">IFERROR(__xludf.DUMMYFUNCTION("""COMPUTED_VALUE"""),370)</f>
        <v>370</v>
      </c>
      <c r="O198" s="19" t="str">
        <f ca="1">IFERROR(__xludf.DUMMYFUNCTION("""COMPUTED_VALUE"""),"Popayan Valencia")</f>
        <v>Popayan Valencia</v>
      </c>
    </row>
    <row r="199" spans="1:15" ht="14.25" customHeight="1" x14ac:dyDescent="0.25">
      <c r="A199" s="53">
        <v>44436</v>
      </c>
      <c r="B199" s="31"/>
      <c r="C199" s="37" t="s">
        <v>145</v>
      </c>
      <c r="D199" s="59">
        <v>403</v>
      </c>
      <c r="E199" s="46" t="s">
        <v>254</v>
      </c>
      <c r="F199" s="59">
        <v>403</v>
      </c>
      <c r="G199" s="37" t="s">
        <v>145</v>
      </c>
      <c r="H199" s="36">
        <v>3105446619</v>
      </c>
      <c r="I199" s="36">
        <v>2274</v>
      </c>
      <c r="J199" s="60"/>
      <c r="K199" s="31"/>
      <c r="L199" s="19" t="str">
        <f ca="1">IFERROR(__xludf.DUMMYFUNCTION("""COMPUTED_VALUE"""),"Santander Centenario")</f>
        <v>Santander Centenario</v>
      </c>
      <c r="M199" s="19" t="str">
        <f ca="1">IFERROR(__xludf.DUMMYFUNCTION("QUERY(C199:E576,""SELECT * WHERE ( E like  '%""&amp;L199&amp;""%') limit 1"")"),"Cauca")</f>
        <v>Cauca</v>
      </c>
      <c r="N199" s="19">
        <f ca="1">IFERROR(__xludf.DUMMYFUNCTION("""COMPUTED_VALUE"""),403)</f>
        <v>403</v>
      </c>
      <c r="O199" s="19" t="str">
        <f ca="1">IFERROR(__xludf.DUMMYFUNCTION("""COMPUTED_VALUE"""),"Santander Centenario")</f>
        <v>Santander Centenario</v>
      </c>
    </row>
    <row r="200" spans="1:15" ht="14.25" customHeight="1" x14ac:dyDescent="0.25">
      <c r="A200" s="53">
        <v>44437</v>
      </c>
      <c r="B200" s="31"/>
      <c r="C200" s="37" t="s">
        <v>145</v>
      </c>
      <c r="D200" s="59">
        <v>400</v>
      </c>
      <c r="E200" s="46" t="s">
        <v>258</v>
      </c>
      <c r="F200" s="59">
        <v>400</v>
      </c>
      <c r="G200" s="37" t="s">
        <v>145</v>
      </c>
      <c r="H200" s="36">
        <v>3184561604</v>
      </c>
      <c r="I200" s="36">
        <v>2418</v>
      </c>
      <c r="J200" s="60"/>
      <c r="K200" s="31"/>
      <c r="L200" s="19" t="str">
        <f ca="1">IFERROR(__xludf.DUMMYFUNCTION("""COMPUTED_VALUE"""),"Santander De Quilichao")</f>
        <v>Santander De Quilichao</v>
      </c>
      <c r="M200" s="19" t="str">
        <f ca="1">IFERROR(__xludf.DUMMYFUNCTION("QUERY(C200:E577,""SELECT * WHERE ( E like  '%""&amp;L200&amp;""%') limit 1"")"),"Cauca")</f>
        <v>Cauca</v>
      </c>
      <c r="N200" s="19">
        <f ca="1">IFERROR(__xludf.DUMMYFUNCTION("""COMPUTED_VALUE"""),400)</f>
        <v>400</v>
      </c>
      <c r="O200" s="19" t="str">
        <f ca="1">IFERROR(__xludf.DUMMYFUNCTION("""COMPUTED_VALUE"""),"Santander De Quilichao")</f>
        <v>Santander De Quilichao</v>
      </c>
    </row>
    <row r="201" spans="1:15" ht="14.25" customHeight="1" x14ac:dyDescent="0.25">
      <c r="A201" s="53">
        <v>44443</v>
      </c>
      <c r="B201" s="31"/>
      <c r="C201" s="37" t="s">
        <v>145</v>
      </c>
      <c r="D201" s="59">
        <v>374</v>
      </c>
      <c r="E201" s="46" t="s">
        <v>259</v>
      </c>
      <c r="F201" s="59">
        <v>374</v>
      </c>
      <c r="G201" s="37" t="s">
        <v>145</v>
      </c>
      <c r="H201" s="36">
        <v>3174397259</v>
      </c>
      <c r="I201" s="36">
        <v>2314</v>
      </c>
      <c r="J201" s="60"/>
      <c r="K201" s="31"/>
      <c r="L201" s="19" t="str">
        <f ca="1">IFERROR(__xludf.DUMMYFUNCTION("""COMPUTED_VALUE"""),"Timbio")</f>
        <v>Timbio</v>
      </c>
      <c r="M201" s="19" t="str">
        <f ca="1">IFERROR(__xludf.DUMMYFUNCTION("QUERY(C201:E578,""SELECT * WHERE ( E like  '%""&amp;L201&amp;""%') limit 1"")"),"Cauca")</f>
        <v>Cauca</v>
      </c>
      <c r="N201" s="19">
        <f ca="1">IFERROR(__xludf.DUMMYFUNCTION("""COMPUTED_VALUE"""),374)</f>
        <v>374</v>
      </c>
      <c r="O201" s="19" t="str">
        <f ca="1">IFERROR(__xludf.DUMMYFUNCTION("""COMPUTED_VALUE"""),"Timbio")</f>
        <v>Timbio</v>
      </c>
    </row>
    <row r="202" spans="1:15" ht="14.25" customHeight="1" x14ac:dyDescent="0.25">
      <c r="A202" s="53">
        <v>44444</v>
      </c>
      <c r="B202" s="31"/>
      <c r="C202" s="37" t="s">
        <v>263</v>
      </c>
      <c r="D202" s="59">
        <v>110</v>
      </c>
      <c r="E202" s="46" t="s">
        <v>265</v>
      </c>
      <c r="F202" s="59">
        <v>110</v>
      </c>
      <c r="G202" s="37" t="s">
        <v>263</v>
      </c>
      <c r="H202" s="36">
        <v>3182529300</v>
      </c>
      <c r="I202" s="36">
        <v>2050</v>
      </c>
      <c r="J202" s="60"/>
      <c r="K202" s="31"/>
      <c r="L202" s="19" t="str">
        <f ca="1">IFERROR(__xludf.DUMMYFUNCTION("""COMPUTED_VALUE"""),"Barranquilla Centro")</f>
        <v>Barranquilla Centro</v>
      </c>
      <c r="M202" s="19" t="str">
        <f ca="1">IFERROR(__xludf.DUMMYFUNCTION("QUERY(C202:E579,""SELECT * WHERE ( E like  '%""&amp;L202&amp;""%') limit 1"")"),"Costa centro")</f>
        <v>Costa centro</v>
      </c>
      <c r="N202" s="19">
        <f ca="1">IFERROR(__xludf.DUMMYFUNCTION("""COMPUTED_VALUE"""),110)</f>
        <v>110</v>
      </c>
      <c r="O202" s="19" t="str">
        <f ca="1">IFERROR(__xludf.DUMMYFUNCTION("""COMPUTED_VALUE"""),"Barranquilla Centro")</f>
        <v>Barranquilla Centro</v>
      </c>
    </row>
    <row r="203" spans="1:15" ht="14.25" customHeight="1" x14ac:dyDescent="0.25">
      <c r="A203" s="53">
        <v>44450</v>
      </c>
      <c r="B203" s="31"/>
      <c r="C203" s="37" t="s">
        <v>263</v>
      </c>
      <c r="D203" s="59">
        <v>130</v>
      </c>
      <c r="E203" s="46" t="s">
        <v>267</v>
      </c>
      <c r="F203" s="59">
        <v>130</v>
      </c>
      <c r="G203" s="37" t="s">
        <v>263</v>
      </c>
      <c r="H203" s="36">
        <v>3182616813</v>
      </c>
      <c r="I203" s="36">
        <v>2054</v>
      </c>
      <c r="J203" s="60"/>
      <c r="K203" s="31"/>
      <c r="L203" s="19" t="str">
        <f ca="1">IFERROR(__xludf.DUMMYFUNCTION("""COMPUTED_VALUE"""),"Barranquilla Cordialidad")</f>
        <v>Barranquilla Cordialidad</v>
      </c>
      <c r="M203" s="19" t="str">
        <f ca="1">IFERROR(__xludf.DUMMYFUNCTION("QUERY(C203:E580,""SELECT * WHERE ( E like  '%""&amp;L203&amp;""%') limit 1"")"),"Costa centro")</f>
        <v>Costa centro</v>
      </c>
      <c r="N203" s="19">
        <f ca="1">IFERROR(__xludf.DUMMYFUNCTION("""COMPUTED_VALUE"""),130)</f>
        <v>130</v>
      </c>
      <c r="O203" s="19" t="str">
        <f ca="1">IFERROR(__xludf.DUMMYFUNCTION("""COMPUTED_VALUE"""),"Barranquilla Cordialidad")</f>
        <v>Barranquilla Cordialidad</v>
      </c>
    </row>
    <row r="204" spans="1:15" ht="14.25" customHeight="1" x14ac:dyDescent="0.25">
      <c r="A204" s="53">
        <v>44451</v>
      </c>
      <c r="B204" s="31"/>
      <c r="C204" s="37" t="s">
        <v>263</v>
      </c>
      <c r="D204" s="59">
        <v>140</v>
      </c>
      <c r="E204" s="46" t="s">
        <v>270</v>
      </c>
      <c r="F204" s="59">
        <v>140</v>
      </c>
      <c r="G204" s="37" t="s">
        <v>263</v>
      </c>
      <c r="H204" s="36">
        <v>3185171658</v>
      </c>
      <c r="I204" s="36">
        <v>2058</v>
      </c>
      <c r="J204" s="60"/>
      <c r="K204" s="31"/>
      <c r="L204" s="19" t="str">
        <f ca="1">IFERROR(__xludf.DUMMYFUNCTION("""COMPUTED_VALUE"""),"Barranquilla Metrocentro")</f>
        <v>Barranquilla Metrocentro</v>
      </c>
      <c r="M204" s="19" t="str">
        <f ca="1">IFERROR(__xludf.DUMMYFUNCTION("QUERY(C204:E581,""SELECT * WHERE ( E like  '%""&amp;L204&amp;""%') limit 1"")"),"Costa centro")</f>
        <v>Costa centro</v>
      </c>
      <c r="N204" s="19">
        <f ca="1">IFERROR(__xludf.DUMMYFUNCTION("""COMPUTED_VALUE"""),140)</f>
        <v>140</v>
      </c>
      <c r="O204" s="19" t="str">
        <f ca="1">IFERROR(__xludf.DUMMYFUNCTION("""COMPUTED_VALUE"""),"Barranquilla Metrocentro")</f>
        <v>Barranquilla Metrocentro</v>
      </c>
    </row>
    <row r="205" spans="1:15" ht="14.25" customHeight="1" x14ac:dyDescent="0.25">
      <c r="A205" s="53">
        <v>44457</v>
      </c>
      <c r="B205" s="31"/>
      <c r="C205" s="37" t="s">
        <v>263</v>
      </c>
      <c r="D205" s="59">
        <v>150</v>
      </c>
      <c r="E205" s="46" t="s">
        <v>272</v>
      </c>
      <c r="F205" s="59">
        <v>150</v>
      </c>
      <c r="G205" s="37" t="s">
        <v>263</v>
      </c>
      <c r="H205" s="36">
        <v>3173724463</v>
      </c>
      <c r="I205" s="36">
        <v>2062</v>
      </c>
      <c r="J205" s="60"/>
      <c r="K205" s="31"/>
      <c r="L205" s="19" t="str">
        <f ca="1">IFERROR(__xludf.DUMMYFUNCTION("""COMPUTED_VALUE"""),"Barranquilla San Francisco")</f>
        <v>Barranquilla San Francisco</v>
      </c>
      <c r="M205" s="19" t="str">
        <f ca="1">IFERROR(__xludf.DUMMYFUNCTION("QUERY(C205:E582,""SELECT * WHERE ( E like  '%""&amp;L205&amp;""%') limit 1"")"),"Costa centro")</f>
        <v>Costa centro</v>
      </c>
      <c r="N205" s="19">
        <f ca="1">IFERROR(__xludf.DUMMYFUNCTION("""COMPUTED_VALUE"""),150)</f>
        <v>150</v>
      </c>
      <c r="O205" s="19" t="str">
        <f ca="1">IFERROR(__xludf.DUMMYFUNCTION("""COMPUTED_VALUE"""),"Barranquilla San Francisco")</f>
        <v>Barranquilla San Francisco</v>
      </c>
    </row>
    <row r="206" spans="1:15" ht="14.25" customHeight="1" x14ac:dyDescent="0.25">
      <c r="A206" s="53">
        <v>44458</v>
      </c>
      <c r="B206" s="31"/>
      <c r="C206" s="37" t="s">
        <v>263</v>
      </c>
      <c r="D206" s="59">
        <v>142</v>
      </c>
      <c r="E206" s="46" t="s">
        <v>274</v>
      </c>
      <c r="F206" s="59">
        <v>142</v>
      </c>
      <c r="G206" s="37" t="s">
        <v>263</v>
      </c>
      <c r="H206" s="36">
        <v>3182616698</v>
      </c>
      <c r="I206" s="36">
        <v>2070</v>
      </c>
      <c r="J206" s="60"/>
      <c r="K206" s="31"/>
      <c r="L206" s="19" t="str">
        <f ca="1">IFERROR(__xludf.DUMMYFUNCTION("""COMPUTED_VALUE"""),"Barranquilla Terminal")</f>
        <v>Barranquilla Terminal</v>
      </c>
      <c r="M206" s="19" t="str">
        <f ca="1">IFERROR(__xludf.DUMMYFUNCTION("QUERY(C206:E583,""SELECT * WHERE ( E like  '%""&amp;L206&amp;""%') limit 1"")"),"Costa centro")</f>
        <v>Costa centro</v>
      </c>
      <c r="N206" s="19">
        <f ca="1">IFERROR(__xludf.DUMMYFUNCTION("""COMPUTED_VALUE"""),142)</f>
        <v>142</v>
      </c>
      <c r="O206" s="19" t="str">
        <f ca="1">IFERROR(__xludf.DUMMYFUNCTION("""COMPUTED_VALUE"""),"Barranquilla Terminal")</f>
        <v>Barranquilla Terminal</v>
      </c>
    </row>
    <row r="207" spans="1:15" ht="14.25" customHeight="1" x14ac:dyDescent="0.25">
      <c r="A207" s="53">
        <v>44464</v>
      </c>
      <c r="B207" s="31"/>
      <c r="C207" s="37" t="s">
        <v>263</v>
      </c>
      <c r="D207" s="59">
        <v>291</v>
      </c>
      <c r="E207" s="46" t="s">
        <v>277</v>
      </c>
      <c r="F207" s="59">
        <v>291</v>
      </c>
      <c r="G207" s="37" t="s">
        <v>263</v>
      </c>
      <c r="H207" s="36">
        <v>3187070692</v>
      </c>
      <c r="I207" s="36">
        <v>2162</v>
      </c>
      <c r="J207" s="60"/>
      <c r="K207" s="31"/>
      <c r="L207" s="19" t="str">
        <f ca="1">IFERROR(__xludf.DUMMYFUNCTION("""COMPUTED_VALUE"""),"Cartagena El Bosque")</f>
        <v>Cartagena El Bosque</v>
      </c>
      <c r="M207" s="19" t="str">
        <f ca="1">IFERROR(__xludf.DUMMYFUNCTION("QUERY(C207:E584,""SELECT * WHERE ( E like  '%""&amp;L207&amp;""%') limit 1"")"),"Costa centro")</f>
        <v>Costa centro</v>
      </c>
      <c r="N207" s="19">
        <f ca="1">IFERROR(__xludf.DUMMYFUNCTION("""COMPUTED_VALUE"""),291)</f>
        <v>291</v>
      </c>
      <c r="O207" s="19" t="str">
        <f ca="1">IFERROR(__xludf.DUMMYFUNCTION("""COMPUTED_VALUE"""),"Cartagena El Bosque")</f>
        <v>Cartagena El Bosque</v>
      </c>
    </row>
    <row r="208" spans="1:15" ht="14.25" customHeight="1" x14ac:dyDescent="0.25">
      <c r="A208" s="53">
        <v>44465</v>
      </c>
      <c r="B208" s="31"/>
      <c r="C208" s="37" t="s">
        <v>263</v>
      </c>
      <c r="D208" s="59">
        <v>300</v>
      </c>
      <c r="E208" s="46" t="s">
        <v>279</v>
      </c>
      <c r="F208" s="59">
        <v>300</v>
      </c>
      <c r="G208" s="37" t="s">
        <v>263</v>
      </c>
      <c r="H208" s="36">
        <v>3188278726</v>
      </c>
      <c r="I208" s="36">
        <v>2155</v>
      </c>
      <c r="J208" s="60"/>
      <c r="K208" s="31"/>
      <c r="L208" s="19" t="str">
        <f ca="1">IFERROR(__xludf.DUMMYFUNCTION("""COMPUTED_VALUE"""),"Cartagena La Plazuela")</f>
        <v>Cartagena La Plazuela</v>
      </c>
      <c r="M208" s="19" t="str">
        <f ca="1">IFERROR(__xludf.DUMMYFUNCTION("QUERY(C208:E585,""SELECT * WHERE ( E like  '%""&amp;L208&amp;""%') limit 1"")"),"Costa centro")</f>
        <v>Costa centro</v>
      </c>
      <c r="N208" s="19">
        <f ca="1">IFERROR(__xludf.DUMMYFUNCTION("""COMPUTED_VALUE"""),300)</f>
        <v>300</v>
      </c>
      <c r="O208" s="19" t="str">
        <f ca="1">IFERROR(__xludf.DUMMYFUNCTION("""COMPUTED_VALUE"""),"Cartagena La Plazuela")</f>
        <v>Cartagena La Plazuela</v>
      </c>
    </row>
    <row r="209" spans="1:15" ht="14.25" customHeight="1" x14ac:dyDescent="0.25">
      <c r="A209" s="53">
        <v>44471</v>
      </c>
      <c r="B209" s="31"/>
      <c r="C209" s="37" t="s">
        <v>263</v>
      </c>
      <c r="D209" s="59">
        <v>290</v>
      </c>
      <c r="E209" s="46" t="s">
        <v>262</v>
      </c>
      <c r="F209" s="59">
        <v>290</v>
      </c>
      <c r="G209" s="37" t="s">
        <v>263</v>
      </c>
      <c r="H209" s="36">
        <v>3185484127</v>
      </c>
      <c r="I209" s="36">
        <v>2158</v>
      </c>
      <c r="J209" s="60"/>
      <c r="K209" s="31"/>
      <c r="L209" s="19" t="str">
        <f ca="1">IFERROR(__xludf.DUMMYFUNCTION("""COMPUTED_VALUE"""),"Cartagena Pie De La Popa")</f>
        <v>Cartagena Pie De La Popa</v>
      </c>
      <c r="M209" s="19" t="str">
        <f ca="1">IFERROR(__xludf.DUMMYFUNCTION("QUERY(C209:E586,""SELECT * WHERE ( E like  '%""&amp;L209&amp;""%') limit 1"")"),"Costa centro")</f>
        <v>Costa centro</v>
      </c>
      <c r="N209" s="19">
        <f ca="1">IFERROR(__xludf.DUMMYFUNCTION("""COMPUTED_VALUE"""),290)</f>
        <v>290</v>
      </c>
      <c r="O209" s="19" t="str">
        <f ca="1">IFERROR(__xludf.DUMMYFUNCTION("""COMPUTED_VALUE"""),"Cartagena Pie De La Popa")</f>
        <v>Cartagena Pie De La Popa</v>
      </c>
    </row>
    <row r="210" spans="1:15" ht="14.25" customHeight="1" x14ac:dyDescent="0.25">
      <c r="A210" s="53">
        <v>44472</v>
      </c>
      <c r="B210" s="31"/>
      <c r="C210" s="37" t="s">
        <v>263</v>
      </c>
      <c r="D210" s="59">
        <v>162</v>
      </c>
      <c r="E210" s="46" t="s">
        <v>281</v>
      </c>
      <c r="F210" s="59">
        <v>162</v>
      </c>
      <c r="G210" s="37" t="s">
        <v>263</v>
      </c>
      <c r="H210" s="36">
        <v>3164727434</v>
      </c>
      <c r="I210" s="36">
        <v>4029</v>
      </c>
      <c r="J210" s="60"/>
      <c r="K210" s="31"/>
      <c r="L210" s="19" t="str">
        <f ca="1">IFERROR(__xludf.DUMMYFUNCTION("""COMPUTED_VALUE"""),"Pda Baranoa")</f>
        <v>Pda Baranoa</v>
      </c>
      <c r="M210" s="19" t="str">
        <f ca="1">IFERROR(__xludf.DUMMYFUNCTION("QUERY(C210:E587,""SELECT * WHERE ( E like  '%""&amp;L210&amp;""%') limit 1"")"),"Costa centro")</f>
        <v>Costa centro</v>
      </c>
      <c r="N210" s="19">
        <f ca="1">IFERROR(__xludf.DUMMYFUNCTION("""COMPUTED_VALUE"""),162)</f>
        <v>162</v>
      </c>
      <c r="O210" s="19" t="str">
        <f ca="1">IFERROR(__xludf.DUMMYFUNCTION("""COMPUTED_VALUE"""),"Pda Baranoa")</f>
        <v>Pda Baranoa</v>
      </c>
    </row>
    <row r="211" spans="1:15" ht="14.25" customHeight="1" x14ac:dyDescent="0.25">
      <c r="A211" s="53">
        <v>44478</v>
      </c>
      <c r="B211" s="31"/>
      <c r="C211" s="37" t="s">
        <v>263</v>
      </c>
      <c r="D211" s="59">
        <v>161</v>
      </c>
      <c r="E211" s="46" t="s">
        <v>284</v>
      </c>
      <c r="F211" s="59">
        <v>161</v>
      </c>
      <c r="G211" s="37" t="s">
        <v>263</v>
      </c>
      <c r="H211" s="36">
        <v>3187827119</v>
      </c>
      <c r="I211" s="36">
        <v>4037</v>
      </c>
      <c r="J211" s="60"/>
      <c r="K211" s="31"/>
      <c r="L211" s="19" t="str">
        <f ca="1">IFERROR(__xludf.DUMMYFUNCTION("""COMPUTED_VALUE"""),"Pda Campo De La Cruz")</f>
        <v>Pda Campo De La Cruz</v>
      </c>
      <c r="M211" s="19" t="str">
        <f ca="1">IFERROR(__xludf.DUMMYFUNCTION("QUERY(C211:E588,""SELECT * WHERE ( E like  '%""&amp;L211&amp;""%') limit 1"")"),"Costa centro")</f>
        <v>Costa centro</v>
      </c>
      <c r="N211" s="19">
        <f ca="1">IFERROR(__xludf.DUMMYFUNCTION("""COMPUTED_VALUE"""),161)</f>
        <v>161</v>
      </c>
      <c r="O211" s="19" t="str">
        <f ca="1">IFERROR(__xludf.DUMMYFUNCTION("""COMPUTED_VALUE"""),"Pda Campo De La Cruz")</f>
        <v>Pda Campo De La Cruz</v>
      </c>
    </row>
    <row r="212" spans="1:15" ht="14.25" customHeight="1" x14ac:dyDescent="0.25">
      <c r="A212" s="53">
        <v>44479</v>
      </c>
      <c r="B212" s="31"/>
      <c r="C212" s="37" t="s">
        <v>263</v>
      </c>
      <c r="D212" s="59">
        <v>163</v>
      </c>
      <c r="E212" s="46" t="s">
        <v>287</v>
      </c>
      <c r="F212" s="59">
        <v>163</v>
      </c>
      <c r="G212" s="37" t="s">
        <v>263</v>
      </c>
      <c r="H212" s="36">
        <v>3105024471</v>
      </c>
      <c r="I212" s="36">
        <v>4071</v>
      </c>
      <c r="J212" s="60"/>
      <c r="K212" s="31"/>
      <c r="L212" s="19" t="str">
        <f ca="1">IFERROR(__xludf.DUMMYFUNCTION("""COMPUTED_VALUE"""),"Pda Luruaco")</f>
        <v>Pda Luruaco</v>
      </c>
      <c r="M212" s="19" t="str">
        <f ca="1">IFERROR(__xludf.DUMMYFUNCTION("QUERY(C212:E589,""SELECT * WHERE ( E like  '%""&amp;L212&amp;""%') limit 1"")"),"Costa centro")</f>
        <v>Costa centro</v>
      </c>
      <c r="N212" s="19">
        <f ca="1">IFERROR(__xludf.DUMMYFUNCTION("""COMPUTED_VALUE"""),163)</f>
        <v>163</v>
      </c>
      <c r="O212" s="19" t="str">
        <f ca="1">IFERROR(__xludf.DUMMYFUNCTION("""COMPUTED_VALUE"""),"Pda Luruaco")</f>
        <v>Pda Luruaco</v>
      </c>
    </row>
    <row r="213" spans="1:15" ht="14.25" customHeight="1" x14ac:dyDescent="0.25">
      <c r="A213" s="53">
        <v>44485</v>
      </c>
      <c r="B213" s="31"/>
      <c r="C213" s="37" t="s">
        <v>263</v>
      </c>
      <c r="D213" s="59">
        <v>122</v>
      </c>
      <c r="E213" s="46" t="s">
        <v>290</v>
      </c>
      <c r="F213" s="59">
        <v>122</v>
      </c>
      <c r="G213" s="37" t="s">
        <v>263</v>
      </c>
      <c r="H213" s="36">
        <v>3106341969</v>
      </c>
      <c r="I213" s="36">
        <v>4073</v>
      </c>
      <c r="J213" s="60"/>
      <c r="K213" s="31"/>
      <c r="L213" s="19" t="str">
        <f ca="1">IFERROR(__xludf.DUMMYFUNCTION("""COMPUTED_VALUE"""),"Pda Malambo")</f>
        <v>Pda Malambo</v>
      </c>
      <c r="M213" s="19" t="str">
        <f ca="1">IFERROR(__xludf.DUMMYFUNCTION("QUERY(C213:E590,""SELECT * WHERE ( E like  '%""&amp;L213&amp;""%') limit 1"")"),"Costa centro")</f>
        <v>Costa centro</v>
      </c>
      <c r="N213" s="19">
        <f ca="1">IFERROR(__xludf.DUMMYFUNCTION("""COMPUTED_VALUE"""),122)</f>
        <v>122</v>
      </c>
      <c r="O213" s="19" t="str">
        <f ca="1">IFERROR(__xludf.DUMMYFUNCTION("""COMPUTED_VALUE"""),"Pda Malambo")</f>
        <v>Pda Malambo</v>
      </c>
    </row>
    <row r="214" spans="1:15" ht="14.25" customHeight="1" x14ac:dyDescent="0.25">
      <c r="A214" s="53">
        <v>44486</v>
      </c>
      <c r="B214" s="31"/>
      <c r="C214" s="37" t="s">
        <v>263</v>
      </c>
      <c r="D214" s="59">
        <v>121</v>
      </c>
      <c r="E214" s="46" t="s">
        <v>293</v>
      </c>
      <c r="F214" s="59">
        <v>121</v>
      </c>
      <c r="G214" s="37" t="s">
        <v>263</v>
      </c>
      <c r="H214" s="36">
        <v>3216470239</v>
      </c>
      <c r="I214" s="36">
        <v>4111</v>
      </c>
      <c r="J214" s="60"/>
      <c r="K214" s="31"/>
      <c r="L214" s="19" t="str">
        <f ca="1">IFERROR(__xludf.DUMMYFUNCTION("""COMPUTED_VALUE"""),"Pda Santo Tomas")</f>
        <v>Pda Santo Tomas</v>
      </c>
      <c r="M214" s="19" t="str">
        <f ca="1">IFERROR(__xludf.DUMMYFUNCTION("QUERY(C214:E591,""SELECT * WHERE ( E like  '%""&amp;L214&amp;""%') limit 1"")"),"Costa centro")</f>
        <v>Costa centro</v>
      </c>
      <c r="N214" s="19">
        <f ca="1">IFERROR(__xludf.DUMMYFUNCTION("""COMPUTED_VALUE"""),121)</f>
        <v>121</v>
      </c>
      <c r="O214" s="19" t="str">
        <f ca="1">IFERROR(__xludf.DUMMYFUNCTION("""COMPUTED_VALUE"""),"Pda Santo Tomas")</f>
        <v>Pda Santo Tomas</v>
      </c>
    </row>
    <row r="215" spans="1:15" ht="14.25" customHeight="1" x14ac:dyDescent="0.25">
      <c r="A215" s="53">
        <v>44487</v>
      </c>
      <c r="B215" s="31"/>
      <c r="C215" s="37" t="s">
        <v>263</v>
      </c>
      <c r="D215" s="59">
        <v>302</v>
      </c>
      <c r="E215" s="46" t="s">
        <v>594</v>
      </c>
      <c r="F215" s="59">
        <v>302</v>
      </c>
      <c r="G215" s="37" t="s">
        <v>263</v>
      </c>
      <c r="H215" s="36">
        <v>3173670720</v>
      </c>
      <c r="I215" s="36">
        <v>4007</v>
      </c>
      <c r="J215" s="60"/>
      <c r="K215" s="31"/>
      <c r="L215" s="19" t="str">
        <f ca="1">IFERROR(__xludf.DUMMYFUNCTION("""COMPUTED_VALUE"""),"Pda Turbaco")</f>
        <v>Pda Turbaco</v>
      </c>
      <c r="M215" s="19" t="str">
        <f ca="1">IFERROR(__xludf.DUMMYFUNCTION("QUERY(C215:E592,""SELECT * WHERE ( E like  '%""&amp;L215&amp;""%') limit 1"")"),"Costa centro")</f>
        <v>Costa centro</v>
      </c>
      <c r="N215" s="19">
        <f ca="1">IFERROR(__xludf.DUMMYFUNCTION("""COMPUTED_VALUE"""),302)</f>
        <v>302</v>
      </c>
      <c r="O215" s="19" t="str">
        <f ca="1">IFERROR(__xludf.DUMMYFUNCTION("""COMPUTED_VALUE"""),"Pda Turbaco")</f>
        <v>Pda Turbaco</v>
      </c>
    </row>
    <row r="216" spans="1:15" ht="14.25" customHeight="1" x14ac:dyDescent="0.25">
      <c r="A216" s="53">
        <v>44492</v>
      </c>
      <c r="B216" s="31"/>
      <c r="C216" s="37" t="s">
        <v>263</v>
      </c>
      <c r="D216" s="59">
        <v>160</v>
      </c>
      <c r="E216" s="46" t="s">
        <v>299</v>
      </c>
      <c r="F216" s="59">
        <v>160</v>
      </c>
      <c r="G216" s="37" t="s">
        <v>263</v>
      </c>
      <c r="H216" s="36">
        <v>3183594323</v>
      </c>
      <c r="I216" s="36">
        <v>2390</v>
      </c>
      <c r="J216" s="60"/>
      <c r="K216" s="31"/>
      <c r="L216" s="19" t="str">
        <f ca="1">IFERROR(__xludf.DUMMYFUNCTION("""COMPUTED_VALUE"""),"Sabanalarga")</f>
        <v>Sabanalarga</v>
      </c>
      <c r="M216" s="19" t="str">
        <f ca="1">IFERROR(__xludf.DUMMYFUNCTION("QUERY(C216:E593,""SELECT * WHERE ( E like  '%""&amp;L216&amp;""%') limit 1"")"),"Costa centro")</f>
        <v>Costa centro</v>
      </c>
      <c r="N216" s="19">
        <f ca="1">IFERROR(__xludf.DUMMYFUNCTION("""COMPUTED_VALUE"""),160)</f>
        <v>160</v>
      </c>
      <c r="O216" s="19" t="str">
        <f ca="1">IFERROR(__xludf.DUMMYFUNCTION("""COMPUTED_VALUE"""),"Sabanalarga")</f>
        <v>Sabanalarga</v>
      </c>
    </row>
    <row r="217" spans="1:15" ht="14.25" customHeight="1" x14ac:dyDescent="0.25">
      <c r="A217" s="53">
        <v>44493</v>
      </c>
      <c r="B217" s="31"/>
      <c r="C217" s="37" t="s">
        <v>263</v>
      </c>
      <c r="D217" s="59">
        <v>120</v>
      </c>
      <c r="E217" s="46" t="s">
        <v>302</v>
      </c>
      <c r="F217" s="59">
        <v>120</v>
      </c>
      <c r="G217" s="37" t="s">
        <v>263</v>
      </c>
      <c r="H217" s="36">
        <v>3187115470</v>
      </c>
      <c r="I217" s="36">
        <v>2067</v>
      </c>
      <c r="J217" s="60"/>
      <c r="K217" s="31"/>
      <c r="L217" s="19" t="str">
        <f ca="1">IFERROR(__xludf.DUMMYFUNCTION("""COMPUTED_VALUE"""),"Soledad")</f>
        <v>Soledad</v>
      </c>
      <c r="M217" s="19" t="str">
        <f ca="1">IFERROR(__xludf.DUMMYFUNCTION("QUERY(C217:E594,""SELECT * WHERE ( E like  '%""&amp;L217&amp;""%') limit 1"")"),"Costa centro")</f>
        <v>Costa centro</v>
      </c>
      <c r="N217" s="19">
        <f ca="1">IFERROR(__xludf.DUMMYFUNCTION("""COMPUTED_VALUE"""),120)</f>
        <v>120</v>
      </c>
      <c r="O217" s="19" t="str">
        <f ca="1">IFERROR(__xludf.DUMMYFUNCTION("""COMPUTED_VALUE"""),"Soledad")</f>
        <v>Soledad</v>
      </c>
    </row>
    <row r="218" spans="1:15" ht="14.25" customHeight="1" x14ac:dyDescent="0.25">
      <c r="A218" s="53">
        <v>44499</v>
      </c>
      <c r="B218" s="31"/>
      <c r="C218" s="37" t="s">
        <v>307</v>
      </c>
      <c r="D218" s="59">
        <v>753</v>
      </c>
      <c r="E218" s="46" t="s">
        <v>306</v>
      </c>
      <c r="F218" s="59">
        <v>753</v>
      </c>
      <c r="G218" s="37" t="s">
        <v>307</v>
      </c>
      <c r="H218" s="36">
        <v>3188132959</v>
      </c>
      <c r="I218" s="36">
        <v>2402</v>
      </c>
      <c r="J218" s="60"/>
      <c r="K218" s="31"/>
      <c r="L218" s="19" t="str">
        <f ca="1">IFERROR(__xludf.DUMMYFUNCTION("""COMPUTED_VALUE"""),"Carmen De Bolivar")</f>
        <v>Carmen De Bolivar</v>
      </c>
      <c r="M218" s="19" t="str">
        <f ca="1">IFERROR(__xludf.DUMMYFUNCTION("QUERY(C218:E595,""SELECT * WHERE ( E like  '%""&amp;L218&amp;""%') limit 1"")"),"Costa occidente")</f>
        <v>Costa occidente</v>
      </c>
      <c r="N218" s="19">
        <f ca="1">IFERROR(__xludf.DUMMYFUNCTION("""COMPUTED_VALUE"""),753)</f>
        <v>753</v>
      </c>
      <c r="O218" s="19" t="str">
        <f ca="1">IFERROR(__xludf.DUMMYFUNCTION("""COMPUTED_VALUE"""),"Carmen De Bolivar")</f>
        <v>Carmen De Bolivar</v>
      </c>
    </row>
    <row r="219" spans="1:15" ht="14.25" customHeight="1" x14ac:dyDescent="0.25">
      <c r="A219" s="53">
        <v>44500</v>
      </c>
      <c r="B219" s="31"/>
      <c r="C219" s="37" t="s">
        <v>307</v>
      </c>
      <c r="D219" s="59">
        <v>482</v>
      </c>
      <c r="E219" s="46" t="s">
        <v>78</v>
      </c>
      <c r="F219" s="59">
        <v>482</v>
      </c>
      <c r="G219" s="37" t="s">
        <v>307</v>
      </c>
      <c r="H219" s="36">
        <v>3174377861</v>
      </c>
      <c r="I219" s="36">
        <v>2322</v>
      </c>
      <c r="J219" s="60"/>
      <c r="K219" s="31"/>
      <c r="L219" s="19" t="str">
        <f ca="1">IFERROR(__xludf.DUMMYFUNCTION("""COMPUTED_VALUE"""),"Cereté")</f>
        <v>Cereté</v>
      </c>
      <c r="M219" s="19" t="str">
        <f ca="1">IFERROR(__xludf.DUMMYFUNCTION("QUERY(C219:E596,""SELECT * WHERE ( E like  '%""&amp;L219&amp;""%') limit 1"")"),"Costa occidente")</f>
        <v>Costa occidente</v>
      </c>
      <c r="N219" s="19">
        <f ca="1">IFERROR(__xludf.DUMMYFUNCTION("""COMPUTED_VALUE"""),482)</f>
        <v>482</v>
      </c>
      <c r="O219" s="19" t="str">
        <f ca="1">IFERROR(__xludf.DUMMYFUNCTION("""COMPUTED_VALUE"""),"Cereté")</f>
        <v>Cereté</v>
      </c>
    </row>
    <row r="220" spans="1:15" ht="14.25" customHeight="1" x14ac:dyDescent="0.25">
      <c r="A220" s="53">
        <v>44506</v>
      </c>
      <c r="B220" s="31"/>
      <c r="C220" s="37" t="s">
        <v>307</v>
      </c>
      <c r="D220" s="59">
        <v>920</v>
      </c>
      <c r="E220" s="46" t="s">
        <v>313</v>
      </c>
      <c r="F220" s="59">
        <v>920</v>
      </c>
      <c r="G220" s="37" t="s">
        <v>307</v>
      </c>
      <c r="H220" s="36">
        <v>3106179989</v>
      </c>
      <c r="I220" s="36">
        <v>2326</v>
      </c>
      <c r="J220" s="60"/>
      <c r="K220" s="31"/>
      <c r="L220" s="19" t="str">
        <f ca="1">IFERROR(__xludf.DUMMYFUNCTION("""COMPUTED_VALUE"""),"Corozal")</f>
        <v>Corozal</v>
      </c>
      <c r="M220" s="19" t="str">
        <f ca="1">IFERROR(__xludf.DUMMYFUNCTION("QUERY(C220:E597,""SELECT * WHERE ( E like  '%""&amp;L220&amp;""%') limit 1"")"),"Costa occidente")</f>
        <v>Costa occidente</v>
      </c>
      <c r="N220" s="19">
        <f ca="1">IFERROR(__xludf.DUMMYFUNCTION("""COMPUTED_VALUE"""),920)</f>
        <v>920</v>
      </c>
      <c r="O220" s="19" t="str">
        <f ca="1">IFERROR(__xludf.DUMMYFUNCTION("""COMPUTED_VALUE"""),"Corozal")</f>
        <v>Corozal</v>
      </c>
    </row>
    <row r="221" spans="1:15" ht="14.25" customHeight="1" x14ac:dyDescent="0.25">
      <c r="A221" s="53">
        <v>44507</v>
      </c>
      <c r="B221" s="31"/>
      <c r="C221" s="37" t="s">
        <v>307</v>
      </c>
      <c r="D221" s="59">
        <v>481</v>
      </c>
      <c r="E221" s="46" t="s">
        <v>317</v>
      </c>
      <c r="F221" s="59">
        <v>481</v>
      </c>
      <c r="G221" s="37" t="s">
        <v>307</v>
      </c>
      <c r="H221" s="36">
        <v>3182704069</v>
      </c>
      <c r="I221" s="36">
        <v>2366</v>
      </c>
      <c r="J221" s="60"/>
      <c r="K221" s="31"/>
      <c r="L221" s="19" t="str">
        <f ca="1">IFERROR(__xludf.DUMMYFUNCTION("""COMPUTED_VALUE"""),"Lorica")</f>
        <v>Lorica</v>
      </c>
      <c r="M221" s="19" t="str">
        <f ca="1">IFERROR(__xludf.DUMMYFUNCTION("QUERY(C221:E598,""SELECT * WHERE ( E like  '%""&amp;L221&amp;""%') limit 1"")"),"Costa occidente")</f>
        <v>Costa occidente</v>
      </c>
      <c r="N221" s="19">
        <f ca="1">IFERROR(__xludf.DUMMYFUNCTION("""COMPUTED_VALUE"""),481)</f>
        <v>481</v>
      </c>
      <c r="O221" s="19" t="str">
        <f ca="1">IFERROR(__xludf.DUMMYFUNCTION("""COMPUTED_VALUE"""),"Lorica")</f>
        <v>Lorica</v>
      </c>
    </row>
    <row r="222" spans="1:15" ht="14.25" customHeight="1" x14ac:dyDescent="0.25">
      <c r="A222" s="53">
        <v>44513</v>
      </c>
      <c r="B222" s="31"/>
      <c r="C222" s="37" t="s">
        <v>307</v>
      </c>
      <c r="D222" s="59">
        <v>772</v>
      </c>
      <c r="E222" s="46" t="s">
        <v>320</v>
      </c>
      <c r="F222" s="59">
        <v>772</v>
      </c>
      <c r="G222" s="37" t="s">
        <v>307</v>
      </c>
      <c r="H222" s="36">
        <v>3182526997</v>
      </c>
      <c r="I222" s="36">
        <v>2370</v>
      </c>
      <c r="J222" s="60"/>
      <c r="K222" s="31"/>
      <c r="L222" s="19" t="str">
        <f ca="1">IFERROR(__xludf.DUMMYFUNCTION("""COMPUTED_VALUE"""),"Magangue")</f>
        <v>Magangue</v>
      </c>
      <c r="M222" s="19" t="str">
        <f ca="1">IFERROR(__xludf.DUMMYFUNCTION("QUERY(C222:E599,""SELECT * WHERE ( E like  '%""&amp;L222&amp;""%') limit 1"")"),"Costa occidente")</f>
        <v>Costa occidente</v>
      </c>
      <c r="N222" s="19">
        <f ca="1">IFERROR(__xludf.DUMMYFUNCTION("""COMPUTED_VALUE"""),772)</f>
        <v>772</v>
      </c>
      <c r="O222" s="19" t="str">
        <f ca="1">IFERROR(__xludf.DUMMYFUNCTION("""COMPUTED_VALUE"""),"Magangue")</f>
        <v>Magangue</v>
      </c>
    </row>
    <row r="223" spans="1:15" ht="14.25" customHeight="1" x14ac:dyDescent="0.25">
      <c r="A223" s="53">
        <v>44514</v>
      </c>
      <c r="B223" s="31"/>
      <c r="C223" s="37" t="s">
        <v>307</v>
      </c>
      <c r="D223" s="59">
        <v>480</v>
      </c>
      <c r="E223" s="46" t="s">
        <v>323</v>
      </c>
      <c r="F223" s="59">
        <v>480</v>
      </c>
      <c r="G223" s="37" t="s">
        <v>307</v>
      </c>
      <c r="H223" s="36">
        <v>3187116424</v>
      </c>
      <c r="I223" s="36">
        <v>2246</v>
      </c>
      <c r="J223" s="60"/>
      <c r="K223" s="31"/>
      <c r="L223" s="19" t="str">
        <f ca="1">IFERROR(__xludf.DUMMYFUNCTION("""COMPUTED_VALUE"""),"Monteria Centro")</f>
        <v>Monteria Centro</v>
      </c>
      <c r="M223" s="19" t="str">
        <f ca="1">IFERROR(__xludf.DUMMYFUNCTION("QUERY(C223:E600,""SELECT * WHERE ( E like  '%""&amp;L223&amp;""%') limit 1"")"),"Costa occidente")</f>
        <v>Costa occidente</v>
      </c>
      <c r="N223" s="19">
        <f ca="1">IFERROR(__xludf.DUMMYFUNCTION("""COMPUTED_VALUE"""),480)</f>
        <v>480</v>
      </c>
      <c r="O223" s="19" t="str">
        <f ca="1">IFERROR(__xludf.DUMMYFUNCTION("""COMPUTED_VALUE"""),"Monteria Centro")</f>
        <v>Monteria Centro</v>
      </c>
    </row>
    <row r="224" spans="1:15" ht="14.25" customHeight="1" x14ac:dyDescent="0.25">
      <c r="A224" s="53">
        <v>44515</v>
      </c>
      <c r="B224" s="31"/>
      <c r="C224" s="37" t="s">
        <v>307</v>
      </c>
      <c r="D224" s="59">
        <v>470</v>
      </c>
      <c r="E224" s="46" t="s">
        <v>326</v>
      </c>
      <c r="F224" s="59">
        <v>470</v>
      </c>
      <c r="G224" s="37" t="s">
        <v>307</v>
      </c>
      <c r="H224" s="36">
        <v>3182825673</v>
      </c>
      <c r="I224" s="36">
        <v>2251</v>
      </c>
      <c r="J224" s="60"/>
      <c r="K224" s="31"/>
      <c r="L224" s="19" t="str">
        <f ca="1">IFERROR(__xludf.DUMMYFUNCTION("""COMPUTED_VALUE"""),"Monteria La Granja")</f>
        <v>Monteria La Granja</v>
      </c>
      <c r="M224" s="19" t="str">
        <f ca="1">IFERROR(__xludf.DUMMYFUNCTION("QUERY(C224:E601,""SELECT * WHERE ( E like  '%""&amp;L224&amp;""%') limit 1"")"),"Costa occidente")</f>
        <v>Costa occidente</v>
      </c>
      <c r="N224" s="19">
        <f ca="1">IFERROR(__xludf.DUMMYFUNCTION("""COMPUTED_VALUE"""),470)</f>
        <v>470</v>
      </c>
      <c r="O224" s="19" t="str">
        <f ca="1">IFERROR(__xludf.DUMMYFUNCTION("""COMPUTED_VALUE"""),"Monteria La Granja")</f>
        <v>Monteria La Granja</v>
      </c>
    </row>
    <row r="225" spans="1:15" ht="14.25" customHeight="1" x14ac:dyDescent="0.25">
      <c r="A225" s="53">
        <v>44520</v>
      </c>
      <c r="B225" s="31"/>
      <c r="C225" s="37" t="s">
        <v>307</v>
      </c>
      <c r="D225" s="59">
        <v>471</v>
      </c>
      <c r="E225" s="46" t="s">
        <v>329</v>
      </c>
      <c r="F225" s="59">
        <v>471</v>
      </c>
      <c r="G225" s="37" t="s">
        <v>307</v>
      </c>
      <c r="H225" s="36">
        <v>3186296717</v>
      </c>
      <c r="I225" s="36">
        <v>4089</v>
      </c>
      <c r="J225" s="60"/>
      <c r="K225" s="31"/>
      <c r="L225" s="19" t="str">
        <f ca="1">IFERROR(__xludf.DUMMYFUNCTION("""COMPUTED_VALUE"""),"Pda Planeta Rica")</f>
        <v>Pda Planeta Rica</v>
      </c>
      <c r="M225" s="19" t="str">
        <f ca="1">IFERROR(__xludf.DUMMYFUNCTION("QUERY(C225:E602,""SELECT * WHERE ( E like  '%""&amp;L225&amp;""%') limit 1"")"),"Costa occidente")</f>
        <v>Costa occidente</v>
      </c>
      <c r="N225" s="19">
        <f ca="1">IFERROR(__xludf.DUMMYFUNCTION("""COMPUTED_VALUE"""),471)</f>
        <v>471</v>
      </c>
      <c r="O225" s="19" t="str">
        <f ca="1">IFERROR(__xludf.DUMMYFUNCTION("""COMPUTED_VALUE"""),"Pda Planeta Rica")</f>
        <v>Pda Planeta Rica</v>
      </c>
    </row>
    <row r="226" spans="1:15" ht="14.25" customHeight="1" x14ac:dyDescent="0.25">
      <c r="A226" s="53">
        <v>44521</v>
      </c>
      <c r="B226" s="31"/>
      <c r="C226" s="37" t="s">
        <v>307</v>
      </c>
      <c r="D226" s="59">
        <v>782</v>
      </c>
      <c r="E226" s="46" t="s">
        <v>332</v>
      </c>
      <c r="F226" s="59">
        <v>782</v>
      </c>
      <c r="G226" s="37" t="s">
        <v>307</v>
      </c>
      <c r="H226" s="36">
        <v>3174295349</v>
      </c>
      <c r="I226" s="36">
        <v>4101</v>
      </c>
      <c r="J226" s="60"/>
      <c r="K226" s="31"/>
      <c r="L226" s="19" t="str">
        <f ca="1">IFERROR(__xludf.DUMMYFUNCTION("""COMPUTED_VALUE"""),"Pda San Marcos")</f>
        <v>Pda San Marcos</v>
      </c>
      <c r="M226" s="19" t="str">
        <f ca="1">IFERROR(__xludf.DUMMYFUNCTION("QUERY(C226:E603,""SELECT * WHERE ( E like  '%""&amp;L226&amp;""%') limit 1"")"),"Costa occidente")</f>
        <v>Costa occidente</v>
      </c>
      <c r="N226" s="19">
        <f ca="1">IFERROR(__xludf.DUMMYFUNCTION("""COMPUTED_VALUE"""),782)</f>
        <v>782</v>
      </c>
      <c r="O226" s="19" t="str">
        <f ca="1">IFERROR(__xludf.DUMMYFUNCTION("""COMPUTED_VALUE"""),"Pda San Marcos")</f>
        <v>Pda San Marcos</v>
      </c>
    </row>
    <row r="227" spans="1:15" ht="14.25" customHeight="1" x14ac:dyDescent="0.25">
      <c r="A227" s="53">
        <v>44527</v>
      </c>
      <c r="B227" s="31"/>
      <c r="C227" s="37" t="s">
        <v>307</v>
      </c>
      <c r="D227" s="59">
        <v>771</v>
      </c>
      <c r="E227" s="46" t="s">
        <v>335</v>
      </c>
      <c r="F227" s="59">
        <v>771</v>
      </c>
      <c r="G227" s="37" t="s">
        <v>307</v>
      </c>
      <c r="H227" s="36">
        <v>3182616694</v>
      </c>
      <c r="I227" s="36">
        <v>4103</v>
      </c>
      <c r="J227" s="60"/>
      <c r="K227" s="31"/>
      <c r="L227" s="19" t="str">
        <f ca="1">IFERROR(__xludf.DUMMYFUNCTION("""COMPUTED_VALUE"""),"Pda San Onofre")</f>
        <v>Pda San Onofre</v>
      </c>
      <c r="M227" s="19" t="str">
        <f ca="1">IFERROR(__xludf.DUMMYFUNCTION("QUERY(C227:E604,""SELECT * WHERE ( E like  '%""&amp;L227&amp;""%') limit 1"")"),"Costa occidente")</f>
        <v>Costa occidente</v>
      </c>
      <c r="N227" s="19">
        <f ca="1">IFERROR(__xludf.DUMMYFUNCTION("""COMPUTED_VALUE"""),771)</f>
        <v>771</v>
      </c>
      <c r="O227" s="19" t="str">
        <f ca="1">IFERROR(__xludf.DUMMYFUNCTION("""COMPUTED_VALUE"""),"Pda San Onofre")</f>
        <v>Pda San Onofre</v>
      </c>
    </row>
    <row r="228" spans="1:15" ht="14.25" customHeight="1" x14ac:dyDescent="0.25">
      <c r="A228" s="53">
        <v>44528</v>
      </c>
      <c r="B228" s="31"/>
      <c r="C228" s="37" t="s">
        <v>307</v>
      </c>
      <c r="D228" s="59">
        <v>781</v>
      </c>
      <c r="E228" s="46" t="s">
        <v>338</v>
      </c>
      <c r="F228" s="59">
        <v>781</v>
      </c>
      <c r="G228" s="37" t="s">
        <v>307</v>
      </c>
      <c r="H228" s="36">
        <v>3182695114</v>
      </c>
      <c r="I228" s="36">
        <v>2394</v>
      </c>
      <c r="J228" s="60"/>
      <c r="K228" s="31"/>
      <c r="L228" s="19" t="str">
        <f ca="1">IFERROR(__xludf.DUMMYFUNCTION("""COMPUTED_VALUE"""),"Sahagun")</f>
        <v>Sahagun</v>
      </c>
      <c r="M228" s="19" t="str">
        <f ca="1">IFERROR(__xludf.DUMMYFUNCTION("QUERY(C228:E605,""SELECT * WHERE ( E like  '%""&amp;L228&amp;""%') limit 1"")"),"Costa occidente")</f>
        <v>Costa occidente</v>
      </c>
      <c r="N228" s="19">
        <f ca="1">IFERROR(__xludf.DUMMYFUNCTION("""COMPUTED_VALUE"""),781)</f>
        <v>781</v>
      </c>
      <c r="O228" s="19" t="str">
        <f ca="1">IFERROR(__xludf.DUMMYFUNCTION("""COMPUTED_VALUE"""),"Sahagun")</f>
        <v>Sahagun</v>
      </c>
    </row>
    <row r="229" spans="1:15" ht="14.25" customHeight="1" x14ac:dyDescent="0.25">
      <c r="A229" s="53">
        <v>44534</v>
      </c>
      <c r="B229" s="31"/>
      <c r="C229" s="37" t="s">
        <v>307</v>
      </c>
      <c r="D229" s="59">
        <v>770</v>
      </c>
      <c r="E229" s="46" t="s">
        <v>342</v>
      </c>
      <c r="F229" s="59">
        <v>770</v>
      </c>
      <c r="G229" s="37" t="s">
        <v>307</v>
      </c>
      <c r="H229" s="36">
        <v>3183380930</v>
      </c>
      <c r="I229" s="36">
        <v>2010</v>
      </c>
      <c r="J229" s="60"/>
      <c r="K229" s="31"/>
      <c r="L229" s="19" t="str">
        <f ca="1">IFERROR(__xludf.DUMMYFUNCTION("""COMPUTED_VALUE"""),"Sincelejo Centro")</f>
        <v>Sincelejo Centro</v>
      </c>
      <c r="M229" s="19" t="str">
        <f ca="1">IFERROR(__xludf.DUMMYFUNCTION("QUERY(C229:E606,""SELECT * WHERE ( E like  '%""&amp;L229&amp;""%') limit 1"")"),"Costa occidente")</f>
        <v>Costa occidente</v>
      </c>
      <c r="N229" s="19">
        <f ca="1">IFERROR(__xludf.DUMMYFUNCTION("""COMPUTED_VALUE"""),770)</f>
        <v>770</v>
      </c>
      <c r="O229" s="19" t="str">
        <f ca="1">IFERROR(__xludf.DUMMYFUNCTION("""COMPUTED_VALUE"""),"Sincelejo Centro")</f>
        <v>Sincelejo Centro</v>
      </c>
    </row>
    <row r="230" spans="1:15" ht="14.25" customHeight="1" x14ac:dyDescent="0.25">
      <c r="A230" s="53">
        <v>44535</v>
      </c>
      <c r="B230" s="31"/>
      <c r="C230" s="37" t="s">
        <v>307</v>
      </c>
      <c r="D230" s="59">
        <v>780</v>
      </c>
      <c r="E230" s="46" t="s">
        <v>345</v>
      </c>
      <c r="F230" s="59">
        <v>780</v>
      </c>
      <c r="G230" s="37" t="s">
        <v>307</v>
      </c>
      <c r="H230" s="36">
        <v>3183381922</v>
      </c>
      <c r="I230" s="36">
        <v>2014</v>
      </c>
      <c r="J230" s="60"/>
      <c r="K230" s="31"/>
      <c r="L230" s="19" t="str">
        <f ca="1">IFERROR(__xludf.DUMMYFUNCTION("""COMPUTED_VALUE"""),"Sincelejo Sur")</f>
        <v>Sincelejo Sur</v>
      </c>
      <c r="M230" s="19" t="str">
        <f ca="1">IFERROR(__xludf.DUMMYFUNCTION("QUERY(C230:E607,""SELECT * WHERE ( E like  '%""&amp;L230&amp;""%') limit 1"")"),"Costa occidente")</f>
        <v>Costa occidente</v>
      </c>
      <c r="N230" s="19">
        <f ca="1">IFERROR(__xludf.DUMMYFUNCTION("""COMPUTED_VALUE"""),780)</f>
        <v>780</v>
      </c>
      <c r="O230" s="19" t="str">
        <f ca="1">IFERROR(__xludf.DUMMYFUNCTION("""COMPUTED_VALUE"""),"Sincelejo Sur")</f>
        <v>Sincelejo Sur</v>
      </c>
    </row>
    <row r="231" spans="1:15" ht="14.25" customHeight="1" x14ac:dyDescent="0.25">
      <c r="A231" s="53">
        <v>44538</v>
      </c>
      <c r="B231" s="31"/>
      <c r="C231" s="37" t="s">
        <v>349</v>
      </c>
      <c r="D231" s="59">
        <v>452</v>
      </c>
      <c r="E231" s="46" t="s">
        <v>633</v>
      </c>
      <c r="F231" s="59">
        <v>452</v>
      </c>
      <c r="G231" s="37" t="s">
        <v>349</v>
      </c>
      <c r="H231" s="36">
        <v>3113540411</v>
      </c>
      <c r="I231" s="36">
        <v>4033</v>
      </c>
      <c r="J231" s="60"/>
      <c r="K231" s="31"/>
      <c r="L231" s="19" t="str">
        <f ca="1">IFERROR(__xludf.DUMMYFUNCTION("""COMPUTED_VALUE"""),"Pda Bosconia")</f>
        <v>Pda Bosconia</v>
      </c>
      <c r="M231" s="19" t="str">
        <f ca="1">IFERROR(__xludf.DUMMYFUNCTION("QUERY(C231:E608,""SELECT * WHERE ( E like  '%""&amp;L231&amp;""%') limit 1"")"),"Costa oriente")</f>
        <v>Costa oriente</v>
      </c>
      <c r="N231" s="19">
        <f ca="1">IFERROR(__xludf.DUMMYFUNCTION("""COMPUTED_VALUE"""),452)</f>
        <v>452</v>
      </c>
      <c r="O231" s="19" t="str">
        <f ca="1">IFERROR(__xludf.DUMMYFUNCTION("""COMPUTED_VALUE"""),"Pda Bosconia")</f>
        <v>Pda Bosconia</v>
      </c>
    </row>
    <row r="232" spans="1:15" ht="14.25" customHeight="1" x14ac:dyDescent="0.25">
      <c r="A232" s="53">
        <v>44541</v>
      </c>
      <c r="B232" s="31"/>
      <c r="C232" s="37" t="s">
        <v>349</v>
      </c>
      <c r="D232" s="59">
        <v>592</v>
      </c>
      <c r="E232" s="46" t="s">
        <v>620</v>
      </c>
      <c r="F232" s="59">
        <v>592</v>
      </c>
      <c r="G232" s="37" t="s">
        <v>349</v>
      </c>
      <c r="H232" s="36">
        <v>3187773206</v>
      </c>
      <c r="I232" s="36">
        <v>4049</v>
      </c>
      <c r="J232" s="60"/>
      <c r="K232" s="31"/>
      <c r="L232" s="19" t="str">
        <f ca="1">IFERROR(__xludf.DUMMYFUNCTION("""COMPUTED_VALUE"""),"Pda Cienaga")</f>
        <v>Pda Cienaga</v>
      </c>
      <c r="M232" s="19" t="str">
        <f ca="1">IFERROR(__xludf.DUMMYFUNCTION("QUERY(C232:E609,""SELECT * WHERE ( E like  '%""&amp;L232&amp;""%') limit 1"")"),"Costa oriente")</f>
        <v>Costa oriente</v>
      </c>
      <c r="N232" s="19">
        <f ca="1">IFERROR(__xludf.DUMMYFUNCTION("""COMPUTED_VALUE"""),592)</f>
        <v>592</v>
      </c>
      <c r="O232" s="19" t="str">
        <f ca="1">IFERROR(__xludf.DUMMYFUNCTION("""COMPUTED_VALUE"""),"Pda Cienaga")</f>
        <v>Pda Cienaga</v>
      </c>
    </row>
    <row r="233" spans="1:15" ht="14.25" customHeight="1" x14ac:dyDescent="0.25">
      <c r="A233" s="53">
        <v>44542</v>
      </c>
      <c r="B233" s="31"/>
      <c r="C233" s="37" t="s">
        <v>349</v>
      </c>
      <c r="D233" s="59">
        <v>451</v>
      </c>
      <c r="E233" s="46" t="s">
        <v>358</v>
      </c>
      <c r="F233" s="59">
        <v>451</v>
      </c>
      <c r="G233" s="37" t="s">
        <v>349</v>
      </c>
      <c r="H233" s="36">
        <v>3188324904</v>
      </c>
      <c r="I233" s="36">
        <v>4051</v>
      </c>
      <c r="J233" s="60"/>
      <c r="K233" s="31"/>
      <c r="L233" s="19" t="str">
        <f ca="1">IFERROR(__xludf.DUMMYFUNCTION("""COMPUTED_VALUE"""),"Pda Codazzi")</f>
        <v>Pda Codazzi</v>
      </c>
      <c r="M233" s="19" t="str">
        <f ca="1">IFERROR(__xludf.DUMMYFUNCTION("QUERY(C233:E610,""SELECT * WHERE ( E like  '%""&amp;L233&amp;""%') limit 1"")"),"Costa oriente")</f>
        <v>Costa oriente</v>
      </c>
      <c r="N233" s="19">
        <f ca="1">IFERROR(__xludf.DUMMYFUNCTION("""COMPUTED_VALUE"""),451)</f>
        <v>451</v>
      </c>
      <c r="O233" s="19" t="str">
        <f ca="1">IFERROR(__xludf.DUMMYFUNCTION("""COMPUTED_VALUE"""),"Pda Codazzi")</f>
        <v>Pda Codazzi</v>
      </c>
    </row>
    <row r="234" spans="1:15" ht="14.25" customHeight="1" x14ac:dyDescent="0.25">
      <c r="A234" s="53">
        <v>44548</v>
      </c>
      <c r="B234" s="31"/>
      <c r="C234" s="37" t="s">
        <v>349</v>
      </c>
      <c r="D234" s="59">
        <v>461</v>
      </c>
      <c r="E234" s="46" t="s">
        <v>94</v>
      </c>
      <c r="F234" s="59">
        <v>461</v>
      </c>
      <c r="G234" s="37" t="s">
        <v>349</v>
      </c>
      <c r="H234" s="36">
        <v>3105950139</v>
      </c>
      <c r="I234" s="36">
        <v>4055</v>
      </c>
      <c r="J234" s="60"/>
      <c r="K234" s="31"/>
      <c r="L234" s="19" t="str">
        <f ca="1">IFERROR(__xludf.DUMMYFUNCTION("""COMPUTED_VALUE"""),"Pda Curumaní")</f>
        <v>Pda Curumaní</v>
      </c>
      <c r="M234" s="19" t="str">
        <f ca="1">IFERROR(__xludf.DUMMYFUNCTION("QUERY(C234:E611,""SELECT * WHERE ( E like  '%""&amp;L234&amp;""%') limit 1"")"),"Costa oriente")</f>
        <v>Costa oriente</v>
      </c>
      <c r="N234" s="19">
        <f ca="1">IFERROR(__xludf.DUMMYFUNCTION("""COMPUTED_VALUE"""),461)</f>
        <v>461</v>
      </c>
      <c r="O234" s="19" t="str">
        <f ca="1">IFERROR(__xludf.DUMMYFUNCTION("""COMPUTED_VALUE"""),"Pda Curumaní")</f>
        <v>Pda Curumaní</v>
      </c>
    </row>
    <row r="235" spans="1:15" ht="14.25" customHeight="1" x14ac:dyDescent="0.25">
      <c r="A235" s="53">
        <v>44549</v>
      </c>
      <c r="B235" s="31"/>
      <c r="C235" s="37" t="s">
        <v>349</v>
      </c>
      <c r="D235" s="59">
        <v>591</v>
      </c>
      <c r="E235" s="46" t="s">
        <v>365</v>
      </c>
      <c r="F235" s="59">
        <v>591</v>
      </c>
      <c r="G235" s="37" t="s">
        <v>349</v>
      </c>
      <c r="H235" s="36">
        <v>3188164441</v>
      </c>
      <c r="I235" s="36">
        <v>4061</v>
      </c>
      <c r="J235" s="60"/>
      <c r="K235" s="31"/>
      <c r="L235" s="19" t="str">
        <f ca="1">IFERROR(__xludf.DUMMYFUNCTION("""COMPUTED_VALUE"""),"Pda Fundación")</f>
        <v>Pda Fundación</v>
      </c>
      <c r="M235" s="19" t="str">
        <f ca="1">IFERROR(__xludf.DUMMYFUNCTION("QUERY(C235:E612,""SELECT * WHERE ( E like  '%""&amp;L235&amp;""%') limit 1"")"),"Costa oriente")</f>
        <v>Costa oriente</v>
      </c>
      <c r="N235" s="19">
        <f ca="1">IFERROR(__xludf.DUMMYFUNCTION("""COMPUTED_VALUE"""),591)</f>
        <v>591</v>
      </c>
      <c r="O235" s="19" t="str">
        <f ca="1">IFERROR(__xludf.DUMMYFUNCTION("""COMPUTED_VALUE"""),"Pda Fundación")</f>
        <v>Pda Fundación</v>
      </c>
    </row>
    <row r="236" spans="1:15" ht="14.25" customHeight="1" x14ac:dyDescent="0.25">
      <c r="A236" s="53">
        <v>44554</v>
      </c>
      <c r="B236" s="31"/>
      <c r="C236" s="37" t="s">
        <v>349</v>
      </c>
      <c r="D236" s="59">
        <v>455</v>
      </c>
      <c r="E236" s="46" t="s">
        <v>369</v>
      </c>
      <c r="F236" s="59">
        <v>455</v>
      </c>
      <c r="G236" s="37" t="s">
        <v>349</v>
      </c>
      <c r="H236" s="36">
        <v>3218596905</v>
      </c>
      <c r="I236" s="36">
        <v>4099</v>
      </c>
      <c r="J236" s="60"/>
      <c r="K236" s="31"/>
      <c r="L236" s="19" t="str">
        <f ca="1">IFERROR(__xludf.DUMMYFUNCTION("""COMPUTED_VALUE"""),"Pda San Juan Del Cesar")</f>
        <v>Pda San Juan Del Cesar</v>
      </c>
      <c r="M236" s="19" t="str">
        <f ca="1">IFERROR(__xludf.DUMMYFUNCTION("QUERY(C236:E613,""SELECT * WHERE ( E like  '%""&amp;L236&amp;""%') limit 1"")"),"Costa oriente")</f>
        <v>Costa oriente</v>
      </c>
      <c r="N236" s="19">
        <f ca="1">IFERROR(__xludf.DUMMYFUNCTION("""COMPUTED_VALUE"""),455)</f>
        <v>455</v>
      </c>
      <c r="O236" s="19" t="str">
        <f ca="1">IFERROR(__xludf.DUMMYFUNCTION("""COMPUTED_VALUE"""),"Pda San Juan Del Cesar")</f>
        <v>Pda San Juan Del Cesar</v>
      </c>
    </row>
    <row r="237" spans="1:15" ht="14.25" customHeight="1" x14ac:dyDescent="0.25">
      <c r="A237" s="53">
        <v>44555</v>
      </c>
      <c r="B237" s="31"/>
      <c r="C237" s="37" t="s">
        <v>349</v>
      </c>
      <c r="D237" s="59">
        <v>540</v>
      </c>
      <c r="E237" s="46" t="s">
        <v>373</v>
      </c>
      <c r="F237" s="59">
        <v>540</v>
      </c>
      <c r="G237" s="37" t="s">
        <v>349</v>
      </c>
      <c r="H237" s="36">
        <v>3162274841</v>
      </c>
      <c r="I237" s="36">
        <v>2174</v>
      </c>
      <c r="J237" s="60"/>
      <c r="K237" s="31"/>
      <c r="L237" s="19" t="str">
        <f ca="1">IFERROR(__xludf.DUMMYFUNCTION("""COMPUTED_VALUE"""),"Riohacha")</f>
        <v>Riohacha</v>
      </c>
      <c r="M237" s="19" t="str">
        <f ca="1">IFERROR(__xludf.DUMMYFUNCTION("QUERY(C237:E614,""SELECT * WHERE ( E like  '%""&amp;L237&amp;""%') limit 1"")"),"Costa oriente")</f>
        <v>Costa oriente</v>
      </c>
      <c r="N237" s="19">
        <f ca="1">IFERROR(__xludf.DUMMYFUNCTION("""COMPUTED_VALUE"""),540)</f>
        <v>540</v>
      </c>
      <c r="O237" s="19" t="str">
        <f ca="1">IFERROR(__xludf.DUMMYFUNCTION("""COMPUTED_VALUE"""),"Riohacha")</f>
        <v>Riohacha</v>
      </c>
    </row>
    <row r="238" spans="1:15" ht="14.25" customHeight="1" x14ac:dyDescent="0.25">
      <c r="A238" s="53">
        <v>44556</v>
      </c>
      <c r="B238" s="31"/>
      <c r="C238" s="37" t="s">
        <v>349</v>
      </c>
      <c r="D238" s="59">
        <v>590</v>
      </c>
      <c r="E238" s="46" t="s">
        <v>348</v>
      </c>
      <c r="F238" s="59">
        <v>590</v>
      </c>
      <c r="G238" s="37" t="s">
        <v>349</v>
      </c>
      <c r="H238" s="36">
        <v>3186664549</v>
      </c>
      <c r="I238" s="36">
        <v>2075</v>
      </c>
      <c r="J238" s="60"/>
      <c r="K238" s="31"/>
      <c r="L238" s="19" t="str">
        <f ca="1">IFERROR(__xludf.DUMMYFUNCTION("""COMPUTED_VALUE"""),"Santa Marta")</f>
        <v>Santa Marta</v>
      </c>
      <c r="M238" s="19" t="str">
        <f ca="1">IFERROR(__xludf.DUMMYFUNCTION("QUERY(C238:E615,""SELECT * WHERE ( E like  '%""&amp;L238&amp;""%') limit 1"")"),"Costa oriente")</f>
        <v>Costa oriente</v>
      </c>
      <c r="N238" s="19">
        <f ca="1">IFERROR(__xludf.DUMMYFUNCTION("""COMPUTED_VALUE"""),590)</f>
        <v>590</v>
      </c>
      <c r="O238" s="19" t="str">
        <f ca="1">IFERROR(__xludf.DUMMYFUNCTION("""COMPUTED_VALUE"""),"Santa Marta")</f>
        <v>Santa Marta</v>
      </c>
    </row>
    <row r="239" spans="1:15" ht="14.25" customHeight="1" x14ac:dyDescent="0.25">
      <c r="A239" s="53">
        <v>44561</v>
      </c>
      <c r="B239" s="31"/>
      <c r="C239" s="37" t="s">
        <v>349</v>
      </c>
      <c r="D239" s="59">
        <v>600</v>
      </c>
      <c r="E239" s="46" t="s">
        <v>377</v>
      </c>
      <c r="F239" s="59">
        <v>600</v>
      </c>
      <c r="G239" s="37" t="s">
        <v>349</v>
      </c>
      <c r="H239" s="36">
        <v>3173639557</v>
      </c>
      <c r="I239" s="36">
        <v>2078</v>
      </c>
      <c r="J239" s="60"/>
      <c r="K239" s="31"/>
      <c r="L239" s="19" t="str">
        <f ca="1">IFERROR(__xludf.DUMMYFUNCTION("""COMPUTED_VALUE"""),"Santa Marta Bastidas")</f>
        <v>Santa Marta Bastidas</v>
      </c>
      <c r="M239" s="19" t="str">
        <f ca="1">IFERROR(__xludf.DUMMYFUNCTION("QUERY(C239:E616,""SELECT * WHERE ( E like  '%""&amp;L239&amp;""%') limit 1"")"),"Costa oriente")</f>
        <v>Costa oriente</v>
      </c>
      <c r="N239" s="19">
        <f ca="1">IFERROR(__xludf.DUMMYFUNCTION("""COMPUTED_VALUE"""),600)</f>
        <v>600</v>
      </c>
      <c r="O239" s="19" t="str">
        <f ca="1">IFERROR(__xludf.DUMMYFUNCTION("""COMPUTED_VALUE"""),"Santa Marta Bastidas")</f>
        <v>Santa Marta Bastidas</v>
      </c>
    </row>
    <row r="240" spans="1:15" ht="14.25" customHeight="1" x14ac:dyDescent="0.25">
      <c r="A240" s="61">
        <v>44562</v>
      </c>
      <c r="C240" s="37" t="s">
        <v>349</v>
      </c>
      <c r="D240" s="59">
        <v>450</v>
      </c>
      <c r="E240" s="46" t="s">
        <v>381</v>
      </c>
      <c r="F240" s="59">
        <v>450</v>
      </c>
      <c r="G240" s="37" t="s">
        <v>349</v>
      </c>
      <c r="H240" s="36">
        <v>3164717052</v>
      </c>
      <c r="I240" s="36">
        <v>2110</v>
      </c>
      <c r="J240" s="60"/>
      <c r="L240" s="19" t="str">
        <f ca="1">IFERROR(__xludf.DUMMYFUNCTION("""COMPUTED_VALUE"""),"Valledupar")</f>
        <v>Valledupar</v>
      </c>
      <c r="M240" s="19" t="str">
        <f ca="1">IFERROR(__xludf.DUMMYFUNCTION("QUERY(C240:E617,""SELECT * WHERE ( E like  '%""&amp;L240&amp;""%') limit 1"")"),"Costa oriente")</f>
        <v>Costa oriente</v>
      </c>
      <c r="N240" s="19">
        <f ca="1">IFERROR(__xludf.DUMMYFUNCTION("""COMPUTED_VALUE"""),450)</f>
        <v>450</v>
      </c>
      <c r="O240" s="19" t="str">
        <f ca="1">IFERROR(__xludf.DUMMYFUNCTION("""COMPUTED_VALUE"""),"Valledupar")</f>
        <v>Valledupar</v>
      </c>
    </row>
    <row r="241" spans="1:15" ht="14.25" customHeight="1" x14ac:dyDescent="0.25">
      <c r="A241" s="62">
        <v>44563</v>
      </c>
      <c r="B241" s="31"/>
      <c r="C241" s="37" t="s">
        <v>349</v>
      </c>
      <c r="D241" s="59">
        <v>460</v>
      </c>
      <c r="E241" s="46" t="s">
        <v>385</v>
      </c>
      <c r="F241" s="59">
        <v>460</v>
      </c>
      <c r="G241" s="37" t="s">
        <v>349</v>
      </c>
      <c r="H241" s="36">
        <v>3188164506</v>
      </c>
      <c r="I241" s="36">
        <v>2114</v>
      </c>
      <c r="J241" s="60"/>
      <c r="K241" s="31"/>
      <c r="L241" s="19" t="str">
        <f ca="1">IFERROR(__xludf.DUMMYFUNCTION("""COMPUTED_VALUE"""),"Valledupar La Ceiba")</f>
        <v>Valledupar La Ceiba</v>
      </c>
      <c r="M241" s="19" t="str">
        <f ca="1">IFERROR(__xludf.DUMMYFUNCTION("QUERY(C241:E618,""SELECT * WHERE ( E like  '%""&amp;L241&amp;""%') limit 1"")"),"Costa oriente")</f>
        <v>Costa oriente</v>
      </c>
      <c r="N241" s="19">
        <f ca="1">IFERROR(__xludf.DUMMYFUNCTION("""COMPUTED_VALUE"""),460)</f>
        <v>460</v>
      </c>
      <c r="O241" s="19" t="str">
        <f ca="1">IFERROR(__xludf.DUMMYFUNCTION("""COMPUTED_VALUE"""),"Valledupar La Ceiba")</f>
        <v>Valledupar La Ceiba</v>
      </c>
    </row>
    <row r="242" spans="1:15" ht="14.25" customHeight="1" x14ac:dyDescent="0.25">
      <c r="A242" s="62">
        <v>44564</v>
      </c>
      <c r="B242" s="31"/>
      <c r="C242" s="37" t="s">
        <v>390</v>
      </c>
      <c r="D242" s="59">
        <v>210</v>
      </c>
      <c r="E242" s="46" t="s">
        <v>389</v>
      </c>
      <c r="F242" s="59">
        <v>210</v>
      </c>
      <c r="G242" s="37" t="s">
        <v>390</v>
      </c>
      <c r="H242" s="36">
        <v>3173719038</v>
      </c>
      <c r="I242" s="36">
        <v>2254</v>
      </c>
      <c r="J242" s="60"/>
      <c r="K242" s="31"/>
      <c r="L242" s="19" t="str">
        <f ca="1">IFERROR(__xludf.DUMMYFUNCTION("""COMPUTED_VALUE"""),"Bogota 7 De Agosto")</f>
        <v>Bogota 7 De Agosto</v>
      </c>
      <c r="M242" s="19" t="str">
        <f ca="1">IFERROR(__xludf.DUMMYFUNCTION("QUERY(C242:E619,""SELECT * WHERE ( E like  '%""&amp;L242&amp;""%') limit 1"")"),"Cundinamarca norte")</f>
        <v>Cundinamarca norte</v>
      </c>
      <c r="N242" s="19">
        <f ca="1">IFERROR(__xludf.DUMMYFUNCTION("""COMPUTED_VALUE"""),210)</f>
        <v>210</v>
      </c>
      <c r="O242" s="19" t="str">
        <f ca="1">IFERROR(__xludf.DUMMYFUNCTION("""COMPUTED_VALUE"""),"Bogota 7 De Agosto")</f>
        <v>Bogota 7 De Agosto</v>
      </c>
    </row>
    <row r="243" spans="1:15" ht="14.25" customHeight="1" x14ac:dyDescent="0.25">
      <c r="A243" s="62">
        <v>44569</v>
      </c>
      <c r="B243" s="31"/>
      <c r="C243" s="37" t="s">
        <v>390</v>
      </c>
      <c r="D243" s="59">
        <v>244</v>
      </c>
      <c r="E243" s="46" t="s">
        <v>398</v>
      </c>
      <c r="F243" s="59">
        <v>244</v>
      </c>
      <c r="G243" s="37" t="s">
        <v>390</v>
      </c>
      <c r="H243" s="36">
        <v>3104284350</v>
      </c>
      <c r="I243" s="36">
        <v>2430</v>
      </c>
      <c r="J243" s="60"/>
      <c r="K243" s="31"/>
      <c r="L243" s="19" t="str">
        <f ca="1">IFERROR(__xludf.DUMMYFUNCTION("""COMPUTED_VALUE"""),"Bogota Chico")</f>
        <v>Bogota Chico</v>
      </c>
      <c r="M243" s="19" t="str">
        <f ca="1">IFERROR(__xludf.DUMMYFUNCTION("QUERY(C243:E620,""SELECT * WHERE ( E like  '%""&amp;L243&amp;""%') limit 1"")"),"Cundinamarca norte")</f>
        <v>Cundinamarca norte</v>
      </c>
      <c r="N243" s="19">
        <f ca="1">IFERROR(__xludf.DUMMYFUNCTION("""COMPUTED_VALUE"""),244)</f>
        <v>244</v>
      </c>
      <c r="O243" s="19" t="str">
        <f ca="1">IFERROR(__xludf.DUMMYFUNCTION("""COMPUTED_VALUE"""),"Bogota Chico")</f>
        <v>Bogota Chico</v>
      </c>
    </row>
    <row r="244" spans="1:15" ht="14.25" customHeight="1" x14ac:dyDescent="0.25">
      <c r="A244" s="62">
        <v>44570</v>
      </c>
      <c r="B244" s="31"/>
      <c r="C244" s="37" t="s">
        <v>390</v>
      </c>
      <c r="D244" s="59">
        <v>230</v>
      </c>
      <c r="E244" s="46" t="s">
        <v>394</v>
      </c>
      <c r="F244" s="59">
        <v>230</v>
      </c>
      <c r="G244" s="37" t="s">
        <v>390</v>
      </c>
      <c r="H244" s="36">
        <v>3186296346</v>
      </c>
      <c r="I244" s="36">
        <v>2262</v>
      </c>
      <c r="J244" s="60"/>
      <c r="K244" s="31"/>
      <c r="L244" s="19" t="str">
        <f ca="1">IFERROR(__xludf.DUMMYFUNCTION("""COMPUTED_VALUE"""),"Bogota Las Ferias")</f>
        <v>Bogota Las Ferias</v>
      </c>
      <c r="M244" s="19" t="str">
        <f ca="1">IFERROR(__xludf.DUMMYFUNCTION("QUERY(C244:E621,""SELECT * WHERE ( E like  '%""&amp;L244&amp;""%') limit 1"")"),"Cundinamarca norte")</f>
        <v>Cundinamarca norte</v>
      </c>
      <c r="N244" s="19">
        <f ca="1">IFERROR(__xludf.DUMMYFUNCTION("""COMPUTED_VALUE"""),230)</f>
        <v>230</v>
      </c>
      <c r="O244" s="19" t="str">
        <f ca="1">IFERROR(__xludf.DUMMYFUNCTION("""COMPUTED_VALUE"""),"Bogota Las Ferias")</f>
        <v>Bogota Las Ferias</v>
      </c>
    </row>
    <row r="245" spans="1:15" ht="14.25" customHeight="1" x14ac:dyDescent="0.25">
      <c r="A245" s="62">
        <v>44571</v>
      </c>
      <c r="B245" s="31"/>
      <c r="C245" s="37" t="s">
        <v>390</v>
      </c>
      <c r="D245" s="59">
        <v>255</v>
      </c>
      <c r="E245" s="46" t="s">
        <v>400</v>
      </c>
      <c r="F245" s="59">
        <v>255</v>
      </c>
      <c r="G245" s="37" t="s">
        <v>390</v>
      </c>
      <c r="H245" s="36">
        <v>3105365073</v>
      </c>
      <c r="I245" s="36">
        <v>2294</v>
      </c>
      <c r="J245" s="60"/>
      <c r="K245" s="31"/>
      <c r="L245" s="19" t="str">
        <f ca="1">IFERROR(__xludf.DUMMYFUNCTION("""COMPUTED_VALUE"""),"Chía")</f>
        <v>Chía</v>
      </c>
      <c r="M245" s="19" t="str">
        <f ca="1">IFERROR(__xludf.DUMMYFUNCTION("QUERY(C245:E622,""SELECT * WHERE ( E like  '%""&amp;L245&amp;""%') limit 1"")"),"Cundinamarca norte")</f>
        <v>Cundinamarca norte</v>
      </c>
      <c r="N245" s="19">
        <f ca="1">IFERROR(__xludf.DUMMYFUNCTION("""COMPUTED_VALUE"""),255)</f>
        <v>255</v>
      </c>
      <c r="O245" s="19" t="str">
        <f ca="1">IFERROR(__xludf.DUMMYFUNCTION("""COMPUTED_VALUE"""),"Chía")</f>
        <v>Chía</v>
      </c>
    </row>
    <row r="246" spans="1:15" ht="14.25" customHeight="1" x14ac:dyDescent="0.25">
      <c r="A246" s="62">
        <v>44576</v>
      </c>
      <c r="B246" s="31"/>
      <c r="C246" s="37" t="s">
        <v>390</v>
      </c>
      <c r="D246" s="59">
        <v>634</v>
      </c>
      <c r="E246" s="46" t="s">
        <v>404</v>
      </c>
      <c r="F246" s="59">
        <v>634</v>
      </c>
      <c r="G246" s="37" t="s">
        <v>390</v>
      </c>
      <c r="H246" s="36">
        <v>3104899586</v>
      </c>
      <c r="I246" s="36">
        <v>2410</v>
      </c>
      <c r="J246" s="60"/>
      <c r="K246" s="31"/>
      <c r="L246" s="19" t="str">
        <f ca="1">IFERROR(__xludf.DUMMYFUNCTION("""COMPUTED_VALUE"""),"Chiquinquira")</f>
        <v>Chiquinquira</v>
      </c>
      <c r="M246" s="19" t="str">
        <f ca="1">IFERROR(__xludf.DUMMYFUNCTION("QUERY(C246:E623,""SELECT * WHERE ( E like  '%""&amp;L246&amp;""%') limit 1"")"),"Cundinamarca norte")</f>
        <v>Cundinamarca norte</v>
      </c>
      <c r="N246" s="19">
        <f ca="1">IFERROR(__xludf.DUMMYFUNCTION("""COMPUTED_VALUE"""),634)</f>
        <v>634</v>
      </c>
      <c r="O246" s="19" t="str">
        <f ca="1">IFERROR(__xludf.DUMMYFUNCTION("""COMPUTED_VALUE"""),"Chiquinquira")</f>
        <v>Chiquinquira</v>
      </c>
    </row>
    <row r="247" spans="1:15" ht="14.25" customHeight="1" x14ac:dyDescent="0.25">
      <c r="A247" s="62">
        <v>44577</v>
      </c>
      <c r="B247" s="31"/>
      <c r="C247" s="37" t="s">
        <v>390</v>
      </c>
      <c r="D247" s="59">
        <v>638</v>
      </c>
      <c r="E247" s="46" t="s">
        <v>408</v>
      </c>
      <c r="F247" s="59">
        <v>638</v>
      </c>
      <c r="G247" s="37" t="s">
        <v>390</v>
      </c>
      <c r="H247" s="36">
        <v>3117281256</v>
      </c>
      <c r="I247" s="36">
        <v>2238</v>
      </c>
      <c r="J247" s="60"/>
      <c r="K247" s="31"/>
      <c r="L247" s="19" t="str">
        <f ca="1">IFERROR(__xludf.DUMMYFUNCTION("""COMPUTED_VALUE"""),"Duitama")</f>
        <v>Duitama</v>
      </c>
      <c r="M247" s="19" t="str">
        <f ca="1">IFERROR(__xludf.DUMMYFUNCTION("QUERY(C247:E624,""SELECT * WHERE ( E like  '%""&amp;L247&amp;""%') limit 1"")"),"Cundinamarca norte")</f>
        <v>Cundinamarca norte</v>
      </c>
      <c r="N247" s="19">
        <f ca="1">IFERROR(__xludf.DUMMYFUNCTION("""COMPUTED_VALUE"""),638)</f>
        <v>638</v>
      </c>
      <c r="O247" s="19" t="str">
        <f ca="1">IFERROR(__xludf.DUMMYFUNCTION("""COMPUTED_VALUE"""),"Duitama")</f>
        <v>Duitama</v>
      </c>
    </row>
    <row r="248" spans="1:15" ht="14.25" customHeight="1" x14ac:dyDescent="0.25">
      <c r="A248" s="62">
        <v>44583</v>
      </c>
      <c r="B248" s="31"/>
      <c r="C248" s="37" t="s">
        <v>390</v>
      </c>
      <c r="D248" s="59">
        <v>232</v>
      </c>
      <c r="E248" s="46" t="s">
        <v>412</v>
      </c>
      <c r="F248" s="59">
        <v>232</v>
      </c>
      <c r="G248" s="37" t="s">
        <v>390</v>
      </c>
      <c r="H248" s="36">
        <v>3174387805</v>
      </c>
      <c r="I248" s="36">
        <v>2302</v>
      </c>
      <c r="J248" s="60"/>
      <c r="K248" s="31"/>
      <c r="L248" s="19" t="str">
        <f ca="1">IFERROR(__xludf.DUMMYFUNCTION("""COMPUTED_VALUE"""),"Facatativa")</f>
        <v>Facatativa</v>
      </c>
      <c r="M248" s="19" t="str">
        <f ca="1">IFERROR(__xludf.DUMMYFUNCTION("QUERY(C248:E625,""SELECT * WHERE ( E like  '%""&amp;L248&amp;""%') limit 1"")"),"Cundinamarca norte")</f>
        <v>Cundinamarca norte</v>
      </c>
      <c r="N248" s="19">
        <f ca="1">IFERROR(__xludf.DUMMYFUNCTION("""COMPUTED_VALUE"""),232)</f>
        <v>232</v>
      </c>
      <c r="O248" s="19" t="str">
        <f ca="1">IFERROR(__xludf.DUMMYFUNCTION("""COMPUTED_VALUE"""),"Facatativa")</f>
        <v>Facatativa</v>
      </c>
    </row>
    <row r="249" spans="1:15" ht="14.25" customHeight="1" x14ac:dyDescent="0.25">
      <c r="A249" s="62">
        <v>44584</v>
      </c>
      <c r="B249" s="31"/>
      <c r="C249" s="37" t="s">
        <v>390</v>
      </c>
      <c r="D249" s="59">
        <v>235</v>
      </c>
      <c r="E249" s="46" t="s">
        <v>416</v>
      </c>
      <c r="F249" s="59">
        <v>235</v>
      </c>
      <c r="G249" s="37" t="s">
        <v>390</v>
      </c>
      <c r="H249" s="36">
        <v>3208733843</v>
      </c>
      <c r="I249" s="36">
        <v>4010</v>
      </c>
      <c r="J249" s="60"/>
      <c r="K249" s="31"/>
      <c r="L249" s="19" t="str">
        <f ca="1">IFERROR(__xludf.DUMMYFUNCTION("""COMPUTED_VALUE"""),"Pda Alamos")</f>
        <v>Pda Alamos</v>
      </c>
      <c r="M249" s="19" t="str">
        <f ca="1">IFERROR(__xludf.DUMMYFUNCTION("QUERY(C249:E626,""SELECT * WHERE ( E like  '%""&amp;L249&amp;""%') limit 1"")"),"Cundinamarca norte")</f>
        <v>Cundinamarca norte</v>
      </c>
      <c r="N249" s="19">
        <f ca="1">IFERROR(__xludf.DUMMYFUNCTION("""COMPUTED_VALUE"""),235)</f>
        <v>235</v>
      </c>
      <c r="O249" s="19" t="str">
        <f ca="1">IFERROR(__xludf.DUMMYFUNCTION("""COMPUTED_VALUE"""),"Pda Alamos")</f>
        <v>Pda Alamos</v>
      </c>
    </row>
    <row r="250" spans="1:15" ht="14.25" customHeight="1" x14ac:dyDescent="0.25">
      <c r="A250" s="63">
        <v>44590</v>
      </c>
      <c r="B250" s="31"/>
      <c r="C250" s="37" t="s">
        <v>390</v>
      </c>
      <c r="D250" s="59">
        <v>633</v>
      </c>
      <c r="E250" s="46" t="s">
        <v>666</v>
      </c>
      <c r="F250" s="59">
        <v>633</v>
      </c>
      <c r="G250" s="37" t="s">
        <v>390</v>
      </c>
      <c r="H250" s="36">
        <v>3226780697</v>
      </c>
      <c r="I250" s="36">
        <v>4136</v>
      </c>
      <c r="J250" s="60"/>
      <c r="K250" s="31"/>
      <c r="L250" s="19" t="str">
        <f ca="1">IFERROR(__xludf.DUMMYFUNCTION("""COMPUTED_VALUE"""),"PDA Barbosa")</f>
        <v>PDA Barbosa</v>
      </c>
      <c r="M250" s="19" t="str">
        <f ca="1">IFERROR(__xludf.DUMMYFUNCTION("QUERY(C250:E627,""SELECT * WHERE ( E like  '%""&amp;L250&amp;""%') limit 1"")"),"Cundinamarca norte")</f>
        <v>Cundinamarca norte</v>
      </c>
      <c r="N250" s="19">
        <f ca="1">IFERROR(__xludf.DUMMYFUNCTION("""COMPUTED_VALUE"""),633)</f>
        <v>633</v>
      </c>
      <c r="O250" s="19" t="str">
        <f ca="1">IFERROR(__xludf.DUMMYFUNCTION("""COMPUTED_VALUE"""),"PDA Barbosa")</f>
        <v>PDA Barbosa</v>
      </c>
    </row>
    <row r="251" spans="1:15" ht="14.25" customHeight="1" x14ac:dyDescent="0.25">
      <c r="A251" s="63">
        <v>44591</v>
      </c>
      <c r="B251" s="31"/>
      <c r="C251" s="37" t="s">
        <v>390</v>
      </c>
      <c r="D251" s="59">
        <v>231</v>
      </c>
      <c r="E251" s="46" t="s">
        <v>424</v>
      </c>
      <c r="F251" s="59">
        <v>231</v>
      </c>
      <c r="G251" s="37" t="s">
        <v>390</v>
      </c>
      <c r="H251" s="36">
        <v>3187074735</v>
      </c>
      <c r="I251" s="36">
        <v>2258</v>
      </c>
      <c r="J251" s="60"/>
      <c r="K251" s="31"/>
      <c r="L251" s="19" t="str">
        <f ca="1">IFERROR(__xludf.DUMMYFUNCTION("""COMPUTED_VALUE"""),"Pda Fontibón")</f>
        <v>Pda Fontibón</v>
      </c>
      <c r="M251" s="19" t="str">
        <f ca="1">IFERROR(__xludf.DUMMYFUNCTION("QUERY(C251:E628,""SELECT * WHERE ( E like  '%""&amp;L251&amp;""%') limit 1"")"),"Cundinamarca norte")</f>
        <v>Cundinamarca norte</v>
      </c>
      <c r="N251" s="19">
        <f ca="1">IFERROR(__xludf.DUMMYFUNCTION("""COMPUTED_VALUE"""),231)</f>
        <v>231</v>
      </c>
      <c r="O251" s="19" t="str">
        <f ca="1">IFERROR(__xludf.DUMMYFUNCTION("""COMPUTED_VALUE"""),"Pda Fontibón")</f>
        <v>Pda Fontibón</v>
      </c>
    </row>
    <row r="252" spans="1:15" ht="14.25" customHeight="1" x14ac:dyDescent="0.25">
      <c r="A252" s="63">
        <v>44597</v>
      </c>
      <c r="B252" s="31"/>
      <c r="C252" s="37" t="s">
        <v>390</v>
      </c>
      <c r="D252" s="59">
        <v>252</v>
      </c>
      <c r="E252" s="46" t="s">
        <v>428</v>
      </c>
      <c r="F252" s="59">
        <v>252</v>
      </c>
      <c r="G252" s="37" t="s">
        <v>390</v>
      </c>
      <c r="H252" s="36">
        <v>3128132357</v>
      </c>
      <c r="I252" s="36">
        <v>4021</v>
      </c>
      <c r="J252" s="60"/>
      <c r="K252" s="31"/>
      <c r="L252" s="19" t="str">
        <f ca="1">IFERROR(__xludf.DUMMYFUNCTION("""COMPUTED_VALUE"""),"Pda Madrid")</f>
        <v>Pda Madrid</v>
      </c>
      <c r="M252" s="19" t="str">
        <f ca="1">IFERROR(__xludf.DUMMYFUNCTION("QUERY(C252:E629,""SELECT * WHERE ( E like  '%""&amp;L252&amp;""%') limit 1"")"),"Cundinamarca norte")</f>
        <v>Cundinamarca norte</v>
      </c>
      <c r="N252" s="19">
        <f ca="1">IFERROR(__xludf.DUMMYFUNCTION("""COMPUTED_VALUE"""),252)</f>
        <v>252</v>
      </c>
      <c r="O252" s="19" t="str">
        <f ca="1">IFERROR(__xludf.DUMMYFUNCTION("""COMPUTED_VALUE"""),"Pda Madrid")</f>
        <v>Pda Madrid</v>
      </c>
    </row>
    <row r="253" spans="1:15" ht="14.25" customHeight="1" x14ac:dyDescent="0.25">
      <c r="A253" s="63">
        <v>44598</v>
      </c>
      <c r="B253" s="31"/>
      <c r="C253" s="37" t="s">
        <v>390</v>
      </c>
      <c r="D253" s="59">
        <v>212</v>
      </c>
      <c r="E253" s="46" t="s">
        <v>432</v>
      </c>
      <c r="F253" s="59">
        <v>212</v>
      </c>
      <c r="G253" s="37" t="s">
        <v>390</v>
      </c>
      <c r="H253" s="36">
        <v>3187116430</v>
      </c>
      <c r="I253" s="36">
        <v>4013</v>
      </c>
      <c r="J253" s="60"/>
      <c r="K253" s="31"/>
      <c r="L253" s="19" t="str">
        <f ca="1">IFERROR(__xludf.DUMMYFUNCTION("""COMPUTED_VALUE"""),"Pda Toberin")</f>
        <v>Pda Toberin</v>
      </c>
      <c r="M253" s="19" t="str">
        <f ca="1">IFERROR(__xludf.DUMMYFUNCTION("QUERY(C253:E630,""SELECT * WHERE ( E like  '%""&amp;L253&amp;""%') limit 1"")"),"Cundinamarca norte")</f>
        <v>Cundinamarca norte</v>
      </c>
      <c r="N253" s="19">
        <f ca="1">IFERROR(__xludf.DUMMYFUNCTION("""COMPUTED_VALUE"""),212)</f>
        <v>212</v>
      </c>
      <c r="O253" s="19" t="str">
        <f ca="1">IFERROR(__xludf.DUMMYFUNCTION("""COMPUTED_VALUE"""),"Pda Toberin")</f>
        <v>Pda Toberin</v>
      </c>
    </row>
    <row r="254" spans="1:15" ht="14.25" customHeight="1" x14ac:dyDescent="0.25">
      <c r="A254" s="63">
        <v>44604</v>
      </c>
      <c r="B254" s="31"/>
      <c r="C254" s="37" t="s">
        <v>390</v>
      </c>
      <c r="D254" s="59">
        <v>214</v>
      </c>
      <c r="E254" s="46" t="s">
        <v>436</v>
      </c>
      <c r="F254" s="59">
        <v>214</v>
      </c>
      <c r="G254" s="37" t="s">
        <v>390</v>
      </c>
      <c r="H254" s="36">
        <v>3106174646</v>
      </c>
      <c r="I254" s="36">
        <v>4123</v>
      </c>
      <c r="J254" s="60"/>
      <c r="K254" s="31"/>
      <c r="L254" s="19" t="str">
        <f ca="1">IFERROR(__xludf.DUMMYFUNCTION("""COMPUTED_VALUE"""),"Pda Ubate")</f>
        <v>Pda Ubate</v>
      </c>
      <c r="M254" s="19" t="str">
        <f ca="1">IFERROR(__xludf.DUMMYFUNCTION("QUERY(C254:E631,""SELECT * WHERE ( E like  '%""&amp;L254&amp;""%') limit 1"")"),"Cundinamarca norte")</f>
        <v>Cundinamarca norte</v>
      </c>
      <c r="N254" s="19">
        <f ca="1">IFERROR(__xludf.DUMMYFUNCTION("""COMPUTED_VALUE"""),214)</f>
        <v>214</v>
      </c>
      <c r="O254" s="19" t="str">
        <f ca="1">IFERROR(__xludf.DUMMYFUNCTION("""COMPUTED_VALUE"""),"Pda Ubate")</f>
        <v>Pda Ubate</v>
      </c>
    </row>
    <row r="255" spans="1:15" ht="14.25" customHeight="1" x14ac:dyDescent="0.25">
      <c r="A255" s="63">
        <v>44605</v>
      </c>
      <c r="B255" s="31"/>
      <c r="C255" s="37" t="s">
        <v>390</v>
      </c>
      <c r="D255" s="59">
        <v>233</v>
      </c>
      <c r="E255" s="46" t="s">
        <v>667</v>
      </c>
      <c r="F255" s="59">
        <v>233</v>
      </c>
      <c r="G255" s="37" t="s">
        <v>390</v>
      </c>
      <c r="H255" s="36">
        <v>3102039461</v>
      </c>
      <c r="I255" s="36">
        <v>2425</v>
      </c>
      <c r="J255" s="60"/>
      <c r="K255" s="31"/>
      <c r="L255" s="19" t="str">
        <f ca="1">IFERROR(__xludf.DUMMYFUNCTION("""COMPUTED_VALUE"""),"PDA Villeta")</f>
        <v>PDA Villeta</v>
      </c>
      <c r="M255" s="19" t="str">
        <f ca="1">IFERROR(__xludf.DUMMYFUNCTION("QUERY(C255:E632,""SELECT * WHERE ( E like  '%""&amp;L255&amp;""%') limit 1"")"),"Cundinamarca norte")</f>
        <v>Cundinamarca norte</v>
      </c>
      <c r="N255" s="19">
        <f ca="1">IFERROR(__xludf.DUMMYFUNCTION("""COMPUTED_VALUE"""),233)</f>
        <v>233</v>
      </c>
      <c r="O255" s="19" t="str">
        <f ca="1">IFERROR(__xludf.DUMMYFUNCTION("""COMPUTED_VALUE"""),"PDA Villeta")</f>
        <v>PDA Villeta</v>
      </c>
    </row>
    <row r="256" spans="1:15" ht="14.25" customHeight="1" x14ac:dyDescent="0.25">
      <c r="A256" s="63">
        <v>44611</v>
      </c>
      <c r="B256" s="31"/>
      <c r="C256" s="37" t="s">
        <v>390</v>
      </c>
      <c r="D256" s="59">
        <v>635</v>
      </c>
      <c r="E256" s="46" t="s">
        <v>443</v>
      </c>
      <c r="F256" s="59">
        <v>635</v>
      </c>
      <c r="G256" s="37" t="s">
        <v>390</v>
      </c>
      <c r="H256" s="36">
        <v>3218909774</v>
      </c>
      <c r="I256" s="36">
        <v>2242</v>
      </c>
      <c r="J256" s="60"/>
      <c r="K256" s="31"/>
      <c r="L256" s="19" t="str">
        <f ca="1">IFERROR(__xludf.DUMMYFUNCTION("""COMPUTED_VALUE"""),"Sogamoso")</f>
        <v>Sogamoso</v>
      </c>
      <c r="M256" s="19" t="str">
        <f ca="1">IFERROR(__xludf.DUMMYFUNCTION("QUERY(C256:E633,""SELECT * WHERE ( E like  '%""&amp;L256&amp;""%') limit 1"")"),"Cundinamarca norte")</f>
        <v>Cundinamarca norte</v>
      </c>
      <c r="N256" s="19">
        <f ca="1">IFERROR(__xludf.DUMMYFUNCTION("""COMPUTED_VALUE"""),635)</f>
        <v>635</v>
      </c>
      <c r="O256" s="19" t="str">
        <f ca="1">IFERROR(__xludf.DUMMYFUNCTION("""COMPUTED_VALUE"""),"Sogamoso")</f>
        <v>Sogamoso</v>
      </c>
    </row>
    <row r="257" spans="1:15" ht="14.25" customHeight="1" x14ac:dyDescent="0.25">
      <c r="A257" s="63">
        <v>44612</v>
      </c>
      <c r="B257" s="31"/>
      <c r="C257" s="37" t="s">
        <v>390</v>
      </c>
      <c r="D257" s="59">
        <v>211</v>
      </c>
      <c r="E257" s="46" t="s">
        <v>447</v>
      </c>
      <c r="F257" s="59">
        <v>211</v>
      </c>
      <c r="G257" s="37" t="s">
        <v>390</v>
      </c>
      <c r="H257" s="36">
        <v>3182061549</v>
      </c>
      <c r="I257" s="36">
        <v>2230</v>
      </c>
      <c r="J257" s="60"/>
      <c r="K257" s="31"/>
      <c r="L257" s="19" t="str">
        <f ca="1">IFERROR(__xludf.DUMMYFUNCTION("""COMPUTED_VALUE"""),"Suba")</f>
        <v>Suba</v>
      </c>
      <c r="M257" s="19" t="str">
        <f ca="1">IFERROR(__xludf.DUMMYFUNCTION("QUERY(C257:E634,""SELECT * WHERE ( E like  '%""&amp;L257&amp;""%') limit 1"")"),"Cundinamarca norte")</f>
        <v>Cundinamarca norte</v>
      </c>
      <c r="N257" s="19">
        <f ca="1">IFERROR(__xludf.DUMMYFUNCTION("""COMPUTED_VALUE"""),211)</f>
        <v>211</v>
      </c>
      <c r="O257" s="19" t="str">
        <f ca="1">IFERROR(__xludf.DUMMYFUNCTION("""COMPUTED_VALUE"""),"Suba")</f>
        <v>Suba</v>
      </c>
    </row>
    <row r="258" spans="1:15" ht="14.25" customHeight="1" x14ac:dyDescent="0.25">
      <c r="A258" s="63">
        <v>44618</v>
      </c>
      <c r="B258" s="31"/>
      <c r="C258" s="37" t="s">
        <v>390</v>
      </c>
      <c r="D258" s="59">
        <v>639</v>
      </c>
      <c r="E258" s="46" t="s">
        <v>451</v>
      </c>
      <c r="F258" s="59">
        <v>639</v>
      </c>
      <c r="G258" s="37" t="s">
        <v>390</v>
      </c>
      <c r="H258" s="36">
        <v>3104757348</v>
      </c>
      <c r="I258" s="36">
        <v>2234</v>
      </c>
      <c r="J258" s="60"/>
      <c r="K258" s="31"/>
      <c r="L258" s="19" t="str">
        <f ca="1">IFERROR(__xludf.DUMMYFUNCTION("""COMPUTED_VALUE"""),"Tunja")</f>
        <v>Tunja</v>
      </c>
      <c r="M258" s="19" t="str">
        <f ca="1">IFERROR(__xludf.DUMMYFUNCTION("QUERY(C258:E635,""SELECT * WHERE ( E like  '%""&amp;L258&amp;""%') limit 1"")"),"Cundinamarca norte")</f>
        <v>Cundinamarca norte</v>
      </c>
      <c r="N258" s="19">
        <f ca="1">IFERROR(__xludf.DUMMYFUNCTION("""COMPUTED_VALUE"""),639)</f>
        <v>639</v>
      </c>
      <c r="O258" s="19" t="str">
        <f ca="1">IFERROR(__xludf.DUMMYFUNCTION("""COMPUTED_VALUE"""),"Tunja")</f>
        <v>Tunja</v>
      </c>
    </row>
    <row r="259" spans="1:15" ht="14.25" customHeight="1" x14ac:dyDescent="0.25">
      <c r="A259" s="63">
        <v>44619</v>
      </c>
      <c r="B259" s="31"/>
      <c r="C259" s="37" t="s">
        <v>390</v>
      </c>
      <c r="D259" s="59">
        <v>213</v>
      </c>
      <c r="E259" s="46" t="s">
        <v>455</v>
      </c>
      <c r="F259" s="59">
        <v>213</v>
      </c>
      <c r="G259" s="37" t="s">
        <v>390</v>
      </c>
      <c r="H259" s="36">
        <v>3174295015</v>
      </c>
      <c r="I259" s="36">
        <v>4026</v>
      </c>
      <c r="J259" s="60"/>
      <c r="K259" s="31"/>
      <c r="L259" s="19" t="str">
        <f ca="1">IFERROR(__xludf.DUMMYFUNCTION("""COMPUTED_VALUE"""),"Zipaquira")</f>
        <v>Zipaquira</v>
      </c>
      <c r="M259" s="19" t="str">
        <f ca="1">IFERROR(__xludf.DUMMYFUNCTION("QUERY(C259:E636,""SELECT * WHERE ( E like  '%""&amp;L259&amp;""%') limit 1"")"),"Cundinamarca norte")</f>
        <v>Cundinamarca norte</v>
      </c>
      <c r="N259" s="19">
        <f ca="1">IFERROR(__xludf.DUMMYFUNCTION("""COMPUTED_VALUE"""),213)</f>
        <v>213</v>
      </c>
      <c r="O259" s="19" t="str">
        <f ca="1">IFERROR(__xludf.DUMMYFUNCTION("""COMPUTED_VALUE"""),"Zipaquira")</f>
        <v>Zipaquira</v>
      </c>
    </row>
    <row r="260" spans="1:15" ht="14.25" customHeight="1" x14ac:dyDescent="0.25">
      <c r="A260" s="63">
        <v>44625</v>
      </c>
      <c r="B260" s="31"/>
      <c r="C260" s="37" t="s">
        <v>460</v>
      </c>
      <c r="D260" s="59">
        <v>240</v>
      </c>
      <c r="E260" s="46" t="s">
        <v>464</v>
      </c>
      <c r="F260" s="59">
        <v>240</v>
      </c>
      <c r="G260" s="37" t="s">
        <v>460</v>
      </c>
      <c r="H260" s="36">
        <v>3184561644</v>
      </c>
      <c r="I260" s="36">
        <v>2202</v>
      </c>
      <c r="J260" s="60"/>
      <c r="K260" s="31"/>
      <c r="L260" s="19" t="str">
        <f ca="1">IFERROR(__xludf.DUMMYFUNCTION("""COMPUTED_VALUE"""),"Bogota 20 De Julio")</f>
        <v>Bogota 20 De Julio</v>
      </c>
      <c r="M260" s="19" t="str">
        <f ca="1">IFERROR(__xludf.DUMMYFUNCTION("QUERY(C260:E637,""SELECT * WHERE ( E like  '%""&amp;L260&amp;""%') limit 1"")"),"Cundinamarca sur")</f>
        <v>Cundinamarca sur</v>
      </c>
      <c r="N260" s="19">
        <f ca="1">IFERROR(__xludf.DUMMYFUNCTION("""COMPUTED_VALUE"""),240)</f>
        <v>240</v>
      </c>
      <c r="O260" s="19" t="str">
        <f ca="1">IFERROR(__xludf.DUMMYFUNCTION("""COMPUTED_VALUE"""),"Bogota 20 De Julio")</f>
        <v>Bogota 20 De Julio</v>
      </c>
    </row>
    <row r="261" spans="1:15" ht="14.25" customHeight="1" x14ac:dyDescent="0.25">
      <c r="A261" s="63">
        <v>44626</v>
      </c>
      <c r="B261" s="31"/>
      <c r="C261" s="37" t="s">
        <v>460</v>
      </c>
      <c r="D261" s="59">
        <v>220</v>
      </c>
      <c r="E261" s="46" t="s">
        <v>459</v>
      </c>
      <c r="F261" s="59">
        <v>220</v>
      </c>
      <c r="G261" s="37" t="s">
        <v>460</v>
      </c>
      <c r="H261" s="36">
        <v>3182616702</v>
      </c>
      <c r="I261" s="36">
        <v>2266</v>
      </c>
      <c r="J261" s="60"/>
      <c r="K261" s="31"/>
      <c r="L261" s="19" t="str">
        <f ca="1">IFERROR(__xludf.DUMMYFUNCTION("""COMPUTED_VALUE"""),"Bogota Kennedy")</f>
        <v>Bogota Kennedy</v>
      </c>
      <c r="M261" s="19" t="str">
        <f ca="1">IFERROR(__xludf.DUMMYFUNCTION("QUERY(C261:E638,""SELECT * WHERE ( E like  '%""&amp;L261&amp;""%') limit 1"")"),"Cundinamarca sur")</f>
        <v>Cundinamarca sur</v>
      </c>
      <c r="N261" s="19">
        <f ca="1">IFERROR(__xludf.DUMMYFUNCTION("""COMPUTED_VALUE"""),220)</f>
        <v>220</v>
      </c>
      <c r="O261" s="19" t="str">
        <f ca="1">IFERROR(__xludf.DUMMYFUNCTION("""COMPUTED_VALUE"""),"Bogota Kennedy")</f>
        <v>Bogota Kennedy</v>
      </c>
    </row>
    <row r="262" spans="1:15" ht="14.25" customHeight="1" x14ac:dyDescent="0.25">
      <c r="A262" s="63">
        <v>44632</v>
      </c>
      <c r="B262" s="31"/>
      <c r="C262" s="37" t="s">
        <v>460</v>
      </c>
      <c r="D262" s="59">
        <v>225</v>
      </c>
      <c r="E262" s="46" t="s">
        <v>468</v>
      </c>
      <c r="F262" s="59">
        <v>225</v>
      </c>
      <c r="G262" s="37" t="s">
        <v>460</v>
      </c>
      <c r="H262" s="36">
        <v>3106156788</v>
      </c>
      <c r="I262" s="36">
        <v>2218</v>
      </c>
      <c r="J262" s="60"/>
      <c r="K262" s="31"/>
      <c r="L262" s="19" t="str">
        <f ca="1">IFERROR(__xludf.DUMMYFUNCTION("""COMPUTED_VALUE"""),"Bosa Brasil")</f>
        <v>Bosa Brasil</v>
      </c>
      <c r="M262" s="19" t="str">
        <f ca="1">IFERROR(__xludf.DUMMYFUNCTION("QUERY(C262:E639,""SELECT * WHERE ( E like  '%""&amp;L262&amp;""%') limit 1"")"),"Cundinamarca sur")</f>
        <v>Cundinamarca sur</v>
      </c>
      <c r="N262" s="19">
        <f ca="1">IFERROR(__xludf.DUMMYFUNCTION("""COMPUTED_VALUE"""),225)</f>
        <v>225</v>
      </c>
      <c r="O262" s="19" t="str">
        <f ca="1">IFERROR(__xludf.DUMMYFUNCTION("""COMPUTED_VALUE"""),"Bosa Brasil")</f>
        <v>Bosa Brasil</v>
      </c>
    </row>
    <row r="263" spans="1:15" ht="14.25" customHeight="1" x14ac:dyDescent="0.25">
      <c r="A263" s="63">
        <v>44633</v>
      </c>
      <c r="B263" s="31"/>
      <c r="C263" s="37" t="s">
        <v>460</v>
      </c>
      <c r="D263" s="59">
        <v>242</v>
      </c>
      <c r="E263" s="46" t="s">
        <v>471</v>
      </c>
      <c r="F263" s="59">
        <v>242</v>
      </c>
      <c r="G263" s="37" t="s">
        <v>460</v>
      </c>
      <c r="H263" s="36">
        <v>3148712786</v>
      </c>
      <c r="I263" s="36">
        <v>2222</v>
      </c>
      <c r="J263" s="60"/>
      <c r="K263" s="31"/>
      <c r="L263" s="19" t="str">
        <f ca="1">IFERROR(__xludf.DUMMYFUNCTION("""COMPUTED_VALUE"""),"Ciudad Bolivar")</f>
        <v>Ciudad Bolivar</v>
      </c>
      <c r="M263" s="19" t="str">
        <f ca="1">IFERROR(__xludf.DUMMYFUNCTION("QUERY(C263:E640,""SELECT * WHERE ( E like  '%""&amp;L263&amp;""%') limit 1"")"),"Cundinamarca sur")</f>
        <v>Cundinamarca sur</v>
      </c>
      <c r="N263" s="19">
        <f ca="1">IFERROR(__xludf.DUMMYFUNCTION("""COMPUTED_VALUE"""),242)</f>
        <v>242</v>
      </c>
      <c r="O263" s="19" t="str">
        <f ca="1">IFERROR(__xludf.DUMMYFUNCTION("""COMPUTED_VALUE"""),"Ciudad Bolivar")</f>
        <v>Ciudad Bolivar</v>
      </c>
    </row>
    <row r="264" spans="1:15" ht="14.25" customHeight="1" x14ac:dyDescent="0.25">
      <c r="A264" s="63">
        <v>44639</v>
      </c>
      <c r="B264" s="31"/>
      <c r="C264" s="37" t="s">
        <v>460</v>
      </c>
      <c r="D264" s="59">
        <v>221</v>
      </c>
      <c r="E264" s="46" t="s">
        <v>475</v>
      </c>
      <c r="F264" s="59">
        <v>221</v>
      </c>
      <c r="G264" s="37" t="s">
        <v>460</v>
      </c>
      <c r="H264" s="36">
        <v>3182616709</v>
      </c>
      <c r="I264" s="36">
        <v>4015</v>
      </c>
      <c r="J264" s="60"/>
      <c r="K264" s="31"/>
      <c r="L264" s="19" t="str">
        <f ca="1">IFERROR(__xludf.DUMMYFUNCTION("""COMPUTED_VALUE"""),"Pda Bosa")</f>
        <v>Pda Bosa</v>
      </c>
      <c r="M264" s="19" t="str">
        <f ca="1">IFERROR(__xludf.DUMMYFUNCTION("QUERY(C264:E641,""SELECT * WHERE ( E like  '%""&amp;L264&amp;""%') limit 1"")"),"Cundinamarca sur")</f>
        <v>Cundinamarca sur</v>
      </c>
      <c r="N264" s="19">
        <f ca="1">IFERROR(__xludf.DUMMYFUNCTION("""COMPUTED_VALUE"""),221)</f>
        <v>221</v>
      </c>
      <c r="O264" s="19" t="str">
        <f ca="1">IFERROR(__xludf.DUMMYFUNCTION("""COMPUTED_VALUE"""),"Pda Bosa")</f>
        <v>Pda Bosa</v>
      </c>
    </row>
    <row r="265" spans="1:15" ht="14.25" customHeight="1" x14ac:dyDescent="0.25">
      <c r="A265" s="63">
        <v>44640</v>
      </c>
      <c r="B265" s="31"/>
      <c r="C265" s="37" t="s">
        <v>460</v>
      </c>
      <c r="D265" s="59">
        <v>632</v>
      </c>
      <c r="E265" s="46" t="s">
        <v>479</v>
      </c>
      <c r="F265" s="59">
        <v>632</v>
      </c>
      <c r="G265" s="37" t="s">
        <v>460</v>
      </c>
      <c r="H265" s="36">
        <v>3174005944</v>
      </c>
      <c r="I265" s="36">
        <v>4043</v>
      </c>
      <c r="J265" s="60"/>
      <c r="K265" s="31"/>
      <c r="L265" s="19" t="str">
        <f ca="1">IFERROR(__xludf.DUMMYFUNCTION("""COMPUTED_VALUE"""),"Pda Caqueza")</f>
        <v>Pda Caqueza</v>
      </c>
      <c r="M265" s="19" t="str">
        <f ca="1">IFERROR(__xludf.DUMMYFUNCTION("QUERY(C265:E642,""SELECT * WHERE ( E like  '%""&amp;L265&amp;""%') limit 1"")"),"Cundinamarca sur")</f>
        <v>Cundinamarca sur</v>
      </c>
      <c r="N265" s="19">
        <f ca="1">IFERROR(__xludf.DUMMYFUNCTION("""COMPUTED_VALUE"""),632)</f>
        <v>632</v>
      </c>
      <c r="O265" s="19" t="str">
        <f ca="1">IFERROR(__xludf.DUMMYFUNCTION("""COMPUTED_VALUE"""),"Pda Caqueza")</f>
        <v>Pda Caqueza</v>
      </c>
    </row>
    <row r="266" spans="1:15" ht="14.25" customHeight="1" x14ac:dyDescent="0.25">
      <c r="A266" s="63">
        <v>44641</v>
      </c>
      <c r="B266" s="31"/>
      <c r="C266" s="37" t="s">
        <v>460</v>
      </c>
      <c r="D266" s="59">
        <v>245</v>
      </c>
      <c r="E266" s="46" t="s">
        <v>482</v>
      </c>
      <c r="F266" s="59">
        <v>245</v>
      </c>
      <c r="G266" s="37" t="s">
        <v>460</v>
      </c>
      <c r="H266" s="36">
        <v>3173726325</v>
      </c>
      <c r="I266" s="36">
        <v>4069</v>
      </c>
      <c r="J266" s="60"/>
      <c r="K266" s="31"/>
      <c r="L266" s="19" t="str">
        <f ca="1">IFERROR(__xludf.DUMMYFUNCTION("""COMPUTED_VALUE"""),"Pda La Victoria")</f>
        <v>Pda La Victoria</v>
      </c>
      <c r="M266" s="19" t="str">
        <f ca="1">IFERROR(__xludf.DUMMYFUNCTION("QUERY(C266:E643,""SELECT * WHERE ( E like  '%""&amp;L266&amp;""%') limit 1"")"),"Cundinamarca sur")</f>
        <v>Cundinamarca sur</v>
      </c>
      <c r="N266" s="19">
        <f ca="1">IFERROR(__xludf.DUMMYFUNCTION("""COMPUTED_VALUE"""),245)</f>
        <v>245</v>
      </c>
      <c r="O266" s="19" t="str">
        <f ca="1">IFERROR(__xludf.DUMMYFUNCTION("""COMPUTED_VALUE"""),"Pda La Victoria")</f>
        <v>Pda La Victoria</v>
      </c>
    </row>
    <row r="267" spans="1:15" ht="14.25" customHeight="1" x14ac:dyDescent="0.25">
      <c r="A267" s="63">
        <v>44646</v>
      </c>
      <c r="B267" s="31"/>
      <c r="C267" s="37" t="s">
        <v>460</v>
      </c>
      <c r="D267" s="59">
        <v>748</v>
      </c>
      <c r="E267" s="46" t="s">
        <v>652</v>
      </c>
      <c r="F267" s="59">
        <v>748</v>
      </c>
      <c r="G267" s="37" t="s">
        <v>460</v>
      </c>
      <c r="H267" s="36">
        <v>3113746295</v>
      </c>
      <c r="I267" s="36">
        <v>4162</v>
      </c>
      <c r="J267" s="60"/>
      <c r="K267" s="31"/>
      <c r="L267" s="19" t="str">
        <f ca="1">IFERROR(__xludf.DUMMYFUNCTION("""COMPUTED_VALUE"""),"PDA Molinos")</f>
        <v>PDA Molinos</v>
      </c>
      <c r="M267" s="19" t="str">
        <f ca="1">IFERROR(__xludf.DUMMYFUNCTION("QUERY(C267:E644,""SELECT * WHERE ( E like  '%""&amp;L267&amp;""%') limit 1"")"),"Cundinamarca sur")</f>
        <v>Cundinamarca sur</v>
      </c>
      <c r="N267" s="19">
        <f ca="1">IFERROR(__xludf.DUMMYFUNCTION("""COMPUTED_VALUE"""),748)</f>
        <v>748</v>
      </c>
      <c r="O267" s="19" t="str">
        <f ca="1">IFERROR(__xludf.DUMMYFUNCTION("""COMPUTED_VALUE"""),"PDA Molinos")</f>
        <v>PDA Molinos</v>
      </c>
    </row>
    <row r="268" spans="1:15" ht="14.25" customHeight="1" x14ac:dyDescent="0.25">
      <c r="A268" s="63">
        <v>44647</v>
      </c>
      <c r="B268" s="31"/>
      <c r="C268" s="37" t="s">
        <v>460</v>
      </c>
      <c r="D268" s="59">
        <v>246</v>
      </c>
      <c r="E268" s="46" t="s">
        <v>488</v>
      </c>
      <c r="F268" s="59">
        <v>246</v>
      </c>
      <c r="G268" s="37" t="s">
        <v>460</v>
      </c>
      <c r="H268" s="36">
        <v>3103705143</v>
      </c>
      <c r="I268" s="36">
        <v>4166</v>
      </c>
      <c r="J268" s="60"/>
      <c r="K268" s="31"/>
      <c r="L268" s="19" t="str">
        <f ca="1">IFERROR(__xludf.DUMMYFUNCTION("""COMPUTED_VALUE"""),"Pda Plaza Ensueño")</f>
        <v>Pda Plaza Ensueño</v>
      </c>
      <c r="M268" s="19" t="str">
        <f ca="1">IFERROR(__xludf.DUMMYFUNCTION("QUERY(C268:E645,""SELECT * WHERE ( E like  '%""&amp;L268&amp;""%') limit 1"")"),"Cundinamarca sur")</f>
        <v>Cundinamarca sur</v>
      </c>
      <c r="N268" s="19">
        <f ca="1">IFERROR(__xludf.DUMMYFUNCTION("""COMPUTED_VALUE"""),246)</f>
        <v>246</v>
      </c>
      <c r="O268" s="19" t="str">
        <f ca="1">IFERROR(__xludf.DUMMYFUNCTION("""COMPUTED_VALUE"""),"Pda Plaza Ensueño")</f>
        <v>Pda Plaza Ensueño</v>
      </c>
    </row>
    <row r="269" spans="1:15" ht="14.25" customHeight="1" x14ac:dyDescent="0.25">
      <c r="A269" s="63">
        <v>44653</v>
      </c>
      <c r="B269" s="31"/>
      <c r="C269" s="37" t="s">
        <v>460</v>
      </c>
      <c r="D269" s="59">
        <v>226</v>
      </c>
      <c r="E269" s="46" t="s">
        <v>491</v>
      </c>
      <c r="F269" s="59">
        <v>226</v>
      </c>
      <c r="G269" s="37" t="s">
        <v>460</v>
      </c>
      <c r="H269" s="36">
        <v>3116455233</v>
      </c>
      <c r="I269" s="36">
        <v>4125</v>
      </c>
      <c r="J269" s="60"/>
      <c r="K269" s="31"/>
      <c r="L269" s="19" t="str">
        <f ca="1">IFERROR(__xludf.DUMMYFUNCTION("""COMPUTED_VALUE"""),"Pda Soacha Autopista")</f>
        <v>Pda Soacha Autopista</v>
      </c>
      <c r="M269" s="19" t="str">
        <f ca="1">IFERROR(__xludf.DUMMYFUNCTION("QUERY(C269:E646,""SELECT * WHERE ( E like  '%""&amp;L269&amp;""%') limit 1"")"),"Cundinamarca sur")</f>
        <v>Cundinamarca sur</v>
      </c>
      <c r="N269" s="19">
        <f ca="1">IFERROR(__xludf.DUMMYFUNCTION("""COMPUTED_VALUE"""),226)</f>
        <v>226</v>
      </c>
      <c r="O269" s="19" t="str">
        <f ca="1">IFERROR(__xludf.DUMMYFUNCTION("""COMPUTED_VALUE"""),"Pda Soacha Autopista")</f>
        <v>Pda Soacha Autopista</v>
      </c>
    </row>
    <row r="270" spans="1:15" ht="14.25" customHeight="1" x14ac:dyDescent="0.25">
      <c r="A270" s="63">
        <v>44654</v>
      </c>
      <c r="B270" s="31"/>
      <c r="C270" s="37" t="s">
        <v>460</v>
      </c>
      <c r="D270" s="59">
        <v>241</v>
      </c>
      <c r="E270" s="46" t="s">
        <v>493</v>
      </c>
      <c r="F270" s="59">
        <v>241</v>
      </c>
      <c r="G270" s="37" t="s">
        <v>460</v>
      </c>
      <c r="H270" s="36">
        <v>3162289147</v>
      </c>
      <c r="I270" s="36">
        <v>2226</v>
      </c>
      <c r="J270" s="60"/>
      <c r="K270" s="31"/>
      <c r="L270" s="19" t="str">
        <f ca="1">IFERROR(__xludf.DUMMYFUNCTION("""COMPUTED_VALUE"""),"Santa Librada")</f>
        <v>Santa Librada</v>
      </c>
      <c r="M270" s="19" t="str">
        <f ca="1">IFERROR(__xludf.DUMMYFUNCTION("QUERY(C270:E647,""SELECT * WHERE ( E like  '%""&amp;L270&amp;""%') limit 1"")"),"Cundinamarca sur")</f>
        <v>Cundinamarca sur</v>
      </c>
      <c r="N270" s="19">
        <f ca="1">IFERROR(__xludf.DUMMYFUNCTION("""COMPUTED_VALUE"""),241)</f>
        <v>241</v>
      </c>
      <c r="O270" s="19" t="str">
        <f ca="1">IFERROR(__xludf.DUMMYFUNCTION("""COMPUTED_VALUE"""),"Santa Librada")</f>
        <v>Santa Librada</v>
      </c>
    </row>
    <row r="271" spans="1:15" ht="14.25" customHeight="1" x14ac:dyDescent="0.25">
      <c r="A271" s="63">
        <v>44660</v>
      </c>
      <c r="B271" s="31"/>
      <c r="C271" s="37" t="s">
        <v>460</v>
      </c>
      <c r="D271" s="59">
        <v>222</v>
      </c>
      <c r="E271" s="46" t="s">
        <v>495</v>
      </c>
      <c r="F271" s="59">
        <v>222</v>
      </c>
      <c r="G271" s="37" t="s">
        <v>460</v>
      </c>
      <c r="H271" s="36">
        <v>3163894294</v>
      </c>
      <c r="I271" s="36">
        <v>2270</v>
      </c>
      <c r="J271" s="60"/>
      <c r="K271" s="31"/>
      <c r="L271" s="19" t="str">
        <f ca="1">IFERROR(__xludf.DUMMYFUNCTION("""COMPUTED_VALUE"""),"Soacha")</f>
        <v>Soacha</v>
      </c>
      <c r="M271" s="19" t="str">
        <f ca="1">IFERROR(__xludf.DUMMYFUNCTION("QUERY(C271:E648,""SELECT * WHERE ( E like  '%""&amp;L271&amp;""%') limit 1"")"),"Cundinamarca sur")</f>
        <v>Cundinamarca sur</v>
      </c>
      <c r="N271" s="19">
        <f ca="1">IFERROR(__xludf.DUMMYFUNCTION("""COMPUTED_VALUE"""),222)</f>
        <v>222</v>
      </c>
      <c r="O271" s="19" t="str">
        <f ca="1">IFERROR(__xludf.DUMMYFUNCTION("""COMPUTED_VALUE"""),"Soacha")</f>
        <v>Soacha</v>
      </c>
    </row>
    <row r="272" spans="1:15" ht="14.25" customHeight="1" x14ac:dyDescent="0.25">
      <c r="A272" s="63">
        <v>44661</v>
      </c>
      <c r="B272" s="31"/>
      <c r="C272" s="37" t="s">
        <v>460</v>
      </c>
      <c r="D272" s="59">
        <v>219</v>
      </c>
      <c r="E272" s="46" t="s">
        <v>497</v>
      </c>
      <c r="F272" s="59">
        <v>219</v>
      </c>
      <c r="G272" s="37" t="s">
        <v>460</v>
      </c>
      <c r="H272" s="36">
        <v>3215459341</v>
      </c>
      <c r="I272" s="36">
        <v>4012</v>
      </c>
      <c r="J272" s="60"/>
      <c r="K272" s="31"/>
      <c r="L272" s="19" t="str">
        <f ca="1">IFERROR(__xludf.DUMMYFUNCTION("""COMPUTED_VALUE"""),"Pda Patio Bonito")</f>
        <v>Pda Patio Bonito</v>
      </c>
      <c r="M272" s="19" t="str">
        <f ca="1">IFERROR(__xludf.DUMMYFUNCTION("QUERY(C272:E649,""SELECT * WHERE ( E like  '%""&amp;L272&amp;""%') limit 1"")"),"Cundinamarca sur")</f>
        <v>Cundinamarca sur</v>
      </c>
      <c r="N272" s="19">
        <f ca="1">IFERROR(__xludf.DUMMYFUNCTION("""COMPUTED_VALUE"""),219)</f>
        <v>219</v>
      </c>
      <c r="O272" s="19" t="str">
        <f ca="1">IFERROR(__xludf.DUMMYFUNCTION("""COMPUTED_VALUE"""),"Pda Patio Bonito")</f>
        <v>Pda Patio Bonito</v>
      </c>
    </row>
    <row r="273" spans="1:15" ht="14.25" customHeight="1" x14ac:dyDescent="0.25">
      <c r="A273" s="63">
        <v>44667</v>
      </c>
      <c r="B273" s="31"/>
      <c r="C273" s="37" t="s">
        <v>499</v>
      </c>
      <c r="D273" s="59">
        <v>700</v>
      </c>
      <c r="E273" s="46" t="s">
        <v>343</v>
      </c>
      <c r="F273" s="59">
        <v>700</v>
      </c>
      <c r="G273" s="37" t="s">
        <v>499</v>
      </c>
      <c r="H273" s="36">
        <v>3186515475</v>
      </c>
      <c r="I273" s="36">
        <v>2178</v>
      </c>
      <c r="J273" s="60"/>
      <c r="K273" s="31"/>
      <c r="L273" s="19" t="str">
        <f ca="1">IFERROR(__xludf.DUMMYFUNCTION("""COMPUTED_VALUE"""),"Armenia Centro")</f>
        <v>Armenia Centro</v>
      </c>
      <c r="M273" s="19" t="str">
        <f ca="1">IFERROR(__xludf.DUMMYFUNCTION("QUERY(C273:E650,""SELECT * WHERE ( E like  '%""&amp;L273&amp;""%') limit 1"")"),"Eje cafetero")</f>
        <v>Eje cafetero</v>
      </c>
      <c r="N273" s="19">
        <f ca="1">IFERROR(__xludf.DUMMYFUNCTION("""COMPUTED_VALUE"""),700)</f>
        <v>700</v>
      </c>
      <c r="O273" s="19" t="str">
        <f ca="1">IFERROR(__xludf.DUMMYFUNCTION("""COMPUTED_VALUE"""),"Armenia Centro")</f>
        <v>Armenia Centro</v>
      </c>
    </row>
    <row r="274" spans="1:15" ht="14.25" customHeight="1" x14ac:dyDescent="0.25">
      <c r="A274" s="63">
        <v>44665</v>
      </c>
      <c r="B274" s="31"/>
      <c r="C274" s="37" t="s">
        <v>499</v>
      </c>
      <c r="D274" s="59">
        <v>710</v>
      </c>
      <c r="E274" s="46" t="s">
        <v>353</v>
      </c>
      <c r="F274" s="59">
        <v>710</v>
      </c>
      <c r="G274" s="37" t="s">
        <v>499</v>
      </c>
      <c r="H274" s="36">
        <v>3134910741</v>
      </c>
      <c r="I274" s="36">
        <v>2182</v>
      </c>
      <c r="J274" s="60"/>
      <c r="K274" s="31"/>
      <c r="L274" s="19" t="str">
        <f ca="1">IFERROR(__xludf.DUMMYFUNCTION("""COMPUTED_VALUE"""),"Armenia Sur")</f>
        <v>Armenia Sur</v>
      </c>
      <c r="M274" s="19" t="str">
        <f ca="1">IFERROR(__xludf.DUMMYFUNCTION("QUERY(C274:E651,""SELECT * WHERE ( E like  '%""&amp;L274&amp;""%') limit 1"")"),"Eje cafetero")</f>
        <v>Eje cafetero</v>
      </c>
      <c r="N274" s="19">
        <f ca="1">IFERROR(__xludf.DUMMYFUNCTION("""COMPUTED_VALUE"""),710)</f>
        <v>710</v>
      </c>
      <c r="O274" s="19" t="str">
        <f ca="1">IFERROR(__xludf.DUMMYFUNCTION("""COMPUTED_VALUE"""),"Armenia Sur")</f>
        <v>Armenia Sur</v>
      </c>
    </row>
    <row r="275" spans="1:15" ht="14.25" customHeight="1" x14ac:dyDescent="0.25">
      <c r="A275" s="63">
        <v>44666</v>
      </c>
      <c r="B275" s="31"/>
      <c r="C275" s="37" t="s">
        <v>499</v>
      </c>
      <c r="D275" s="59">
        <v>731</v>
      </c>
      <c r="E275" s="46" t="s">
        <v>375</v>
      </c>
      <c r="F275" s="59">
        <v>731</v>
      </c>
      <c r="G275" s="37" t="s">
        <v>499</v>
      </c>
      <c r="H275" s="36">
        <v>3187159526</v>
      </c>
      <c r="I275" s="36">
        <v>2318</v>
      </c>
      <c r="J275" s="60"/>
      <c r="K275" s="31"/>
      <c r="L275" s="19" t="str">
        <f ca="1">IFERROR(__xludf.DUMMYFUNCTION("""COMPUTED_VALUE"""),"Cartago")</f>
        <v>Cartago</v>
      </c>
      <c r="M275" s="19" t="str">
        <f ca="1">IFERROR(__xludf.DUMMYFUNCTION("QUERY(C275:E652,""SELECT * WHERE ( E like  '%""&amp;L275&amp;""%') limit 1"")"),"Eje cafetero")</f>
        <v>Eje cafetero</v>
      </c>
      <c r="N275" s="19">
        <f ca="1">IFERROR(__xludf.DUMMYFUNCTION("""COMPUTED_VALUE"""),731)</f>
        <v>731</v>
      </c>
      <c r="O275" s="19" t="str">
        <f ca="1">IFERROR(__xludf.DUMMYFUNCTION("""COMPUTED_VALUE"""),"Cartago")</f>
        <v>Cartago</v>
      </c>
    </row>
    <row r="276" spans="1:15" ht="14.25" customHeight="1" x14ac:dyDescent="0.25">
      <c r="A276" s="63">
        <v>44668</v>
      </c>
      <c r="B276" s="31"/>
      <c r="C276" s="37" t="s">
        <v>499</v>
      </c>
      <c r="D276" s="59">
        <v>736</v>
      </c>
      <c r="E276" s="46" t="s">
        <v>379</v>
      </c>
      <c r="F276" s="59">
        <v>736</v>
      </c>
      <c r="G276" s="37" t="s">
        <v>499</v>
      </c>
      <c r="H276" s="36">
        <v>3105174056</v>
      </c>
      <c r="I276" s="36">
        <v>2039</v>
      </c>
      <c r="J276" s="60"/>
      <c r="K276" s="31"/>
      <c r="L276" s="19" t="str">
        <f ca="1">IFERROR(__xludf.DUMMYFUNCTION("""COMPUTED_VALUE"""),"Dosquebradas")</f>
        <v>Dosquebradas</v>
      </c>
      <c r="M276" s="19" t="str">
        <f ca="1">IFERROR(__xludf.DUMMYFUNCTION("QUERY(C276:E653,""SELECT * WHERE ( E like  '%""&amp;L276&amp;""%') limit 1"")"),"Eje cafetero")</f>
        <v>Eje cafetero</v>
      </c>
      <c r="N276" s="19">
        <f ca="1">IFERROR(__xludf.DUMMYFUNCTION("""COMPUTED_VALUE"""),736)</f>
        <v>736</v>
      </c>
      <c r="O276" s="19" t="str">
        <f ca="1">IFERROR(__xludf.DUMMYFUNCTION("""COMPUTED_VALUE"""),"Dosquebradas")</f>
        <v>Dosquebradas</v>
      </c>
    </row>
    <row r="277" spans="1:15" ht="14.25" customHeight="1" x14ac:dyDescent="0.25">
      <c r="A277" s="63">
        <v>44674</v>
      </c>
      <c r="B277" s="31"/>
      <c r="C277" s="37" t="s">
        <v>499</v>
      </c>
      <c r="D277" s="59">
        <v>732</v>
      </c>
      <c r="E277" s="46" t="s">
        <v>371</v>
      </c>
      <c r="F277" s="59">
        <v>732</v>
      </c>
      <c r="G277" s="37" t="s">
        <v>499</v>
      </c>
      <c r="H277" s="36">
        <v>3182616697</v>
      </c>
      <c r="I277" s="36">
        <v>2414</v>
      </c>
      <c r="J277" s="60"/>
      <c r="K277" s="31"/>
      <c r="L277" s="19" t="str">
        <f ca="1">IFERROR(__xludf.DUMMYFUNCTION("""COMPUTED_VALUE"""),"La Virginia")</f>
        <v>La Virginia</v>
      </c>
      <c r="M277" s="19" t="str">
        <f ca="1">IFERROR(__xludf.DUMMYFUNCTION("QUERY(C277:E654,""SELECT * WHERE ( E like  '%""&amp;L277&amp;""%') limit 1"")"),"Eje cafetero")</f>
        <v>Eje cafetero</v>
      </c>
      <c r="N277" s="19">
        <f ca="1">IFERROR(__xludf.DUMMYFUNCTION("""COMPUTED_VALUE"""),732)</f>
        <v>732</v>
      </c>
      <c r="O277" s="19" t="str">
        <f ca="1">IFERROR(__xludf.DUMMYFUNCTION("""COMPUTED_VALUE"""),"La Virginia")</f>
        <v>La Virginia</v>
      </c>
    </row>
    <row r="278" spans="1:15" ht="14.25" customHeight="1" x14ac:dyDescent="0.25">
      <c r="A278" s="63">
        <v>44675</v>
      </c>
      <c r="B278" s="31"/>
      <c r="C278" s="37" t="s">
        <v>499</v>
      </c>
      <c r="D278" s="59">
        <v>703</v>
      </c>
      <c r="E278" s="46" t="s">
        <v>350</v>
      </c>
      <c r="F278" s="59">
        <v>703</v>
      </c>
      <c r="G278" s="37" t="s">
        <v>499</v>
      </c>
      <c r="H278" s="36">
        <v>3185329248</v>
      </c>
      <c r="I278" s="36">
        <v>4035</v>
      </c>
      <c r="J278" s="60"/>
      <c r="K278" s="31"/>
      <c r="L278" s="19" t="str">
        <f ca="1">IFERROR(__xludf.DUMMYFUNCTION("""COMPUTED_VALUE"""),"Pda Calarca")</f>
        <v>Pda Calarca</v>
      </c>
      <c r="M278" s="19" t="str">
        <f ca="1">IFERROR(__xludf.DUMMYFUNCTION("QUERY(C278:E655,""SELECT * WHERE ( E like  '%""&amp;L278&amp;""%') limit 1"")"),"Eje cafetero")</f>
        <v>Eje cafetero</v>
      </c>
      <c r="N278" s="19">
        <f ca="1">IFERROR(__xludf.DUMMYFUNCTION("""COMPUTED_VALUE"""),703)</f>
        <v>703</v>
      </c>
      <c r="O278" s="19" t="str">
        <f ca="1">IFERROR(__xludf.DUMMYFUNCTION("""COMPUTED_VALUE"""),"Pda Calarca")</f>
        <v>Pda Calarca</v>
      </c>
    </row>
    <row r="279" spans="1:15" ht="14.25" customHeight="1" x14ac:dyDescent="0.25">
      <c r="A279" s="63">
        <v>44681</v>
      </c>
      <c r="B279" s="31"/>
      <c r="C279" s="37" t="s">
        <v>499</v>
      </c>
      <c r="D279" s="59">
        <v>701</v>
      </c>
      <c r="E279" s="46" t="s">
        <v>360</v>
      </c>
      <c r="F279" s="59">
        <v>701</v>
      </c>
      <c r="G279" s="37" t="s">
        <v>499</v>
      </c>
      <c r="H279" s="36">
        <v>3185171680</v>
      </c>
      <c r="I279" s="36">
        <v>4067</v>
      </c>
      <c r="J279" s="60"/>
      <c r="K279" s="31"/>
      <c r="L279" s="19" t="str">
        <f ca="1">IFERROR(__xludf.DUMMYFUNCTION("""COMPUTED_VALUE"""),"Pda La Tebaida")</f>
        <v>Pda La Tebaida</v>
      </c>
      <c r="M279" s="19" t="str">
        <f ca="1">IFERROR(__xludf.DUMMYFUNCTION("QUERY(C279:E656,""SELECT * WHERE ( E like  '%""&amp;L279&amp;""%') limit 1"")"),"Eje cafetero")</f>
        <v>Eje cafetero</v>
      </c>
      <c r="N279" s="19">
        <f ca="1">IFERROR(__xludf.DUMMYFUNCTION("""COMPUTED_VALUE"""),701)</f>
        <v>701</v>
      </c>
      <c r="O279" s="19" t="str">
        <f ca="1">IFERROR(__xludf.DUMMYFUNCTION("""COMPUTED_VALUE"""),"Pda La Tebaida")</f>
        <v>Pda La Tebaida</v>
      </c>
    </row>
    <row r="280" spans="1:15" ht="14.25" customHeight="1" x14ac:dyDescent="0.25">
      <c r="A280" s="63">
        <v>44682</v>
      </c>
      <c r="B280" s="31"/>
      <c r="C280" s="37" t="s">
        <v>499</v>
      </c>
      <c r="D280" s="59">
        <v>702</v>
      </c>
      <c r="E280" s="46" t="s">
        <v>346</v>
      </c>
      <c r="F280" s="59">
        <v>702</v>
      </c>
      <c r="G280" s="37" t="s">
        <v>499</v>
      </c>
      <c r="H280" s="36">
        <v>3185171686</v>
      </c>
      <c r="I280" s="36">
        <v>4095</v>
      </c>
      <c r="J280" s="60"/>
      <c r="K280" s="31"/>
      <c r="L280" s="19" t="str">
        <f ca="1">IFERROR(__xludf.DUMMYFUNCTION("""COMPUTED_VALUE"""),"Pda Quimbaya")</f>
        <v>Pda Quimbaya</v>
      </c>
      <c r="M280" s="19" t="str">
        <f ca="1">IFERROR(__xludf.DUMMYFUNCTION("QUERY(C280:E657,""SELECT * WHERE ( E like  '%""&amp;L280&amp;""%') limit 1"")"),"Eje cafetero")</f>
        <v>Eje cafetero</v>
      </c>
      <c r="N280" s="19">
        <f ca="1">IFERROR(__xludf.DUMMYFUNCTION("""COMPUTED_VALUE"""),702)</f>
        <v>702</v>
      </c>
      <c r="O280" s="19" t="str">
        <f ca="1">IFERROR(__xludf.DUMMYFUNCTION("""COMPUTED_VALUE"""),"Pda Quimbaya")</f>
        <v>Pda Quimbaya</v>
      </c>
    </row>
    <row r="281" spans="1:15" ht="14.25" customHeight="1" x14ac:dyDescent="0.25">
      <c r="A281" s="63">
        <v>44688</v>
      </c>
      <c r="B281" s="31"/>
      <c r="C281" s="37" t="s">
        <v>499</v>
      </c>
      <c r="D281" s="59">
        <v>733</v>
      </c>
      <c r="E281" s="46" t="s">
        <v>648</v>
      </c>
      <c r="F281" s="59">
        <v>733</v>
      </c>
      <c r="G281" s="37" t="s">
        <v>499</v>
      </c>
      <c r="H281" s="36">
        <v>3105487206</v>
      </c>
      <c r="I281" s="36">
        <v>4154</v>
      </c>
      <c r="J281" s="60"/>
      <c r="K281" s="31"/>
      <c r="L281" s="19" t="str">
        <f ca="1">IFERROR(__xludf.DUMMYFUNCTION("""COMPUTED_VALUE"""),"PDA Riosucio")</f>
        <v>PDA Riosucio</v>
      </c>
      <c r="M281" s="19" t="str">
        <f ca="1">IFERROR(__xludf.DUMMYFUNCTION("QUERY(C281:E658,""SELECT * WHERE ( E like  '%""&amp;L281&amp;""%') limit 1"")"),"Eje cafetero")</f>
        <v>Eje cafetero</v>
      </c>
      <c r="N281" s="19">
        <f ca="1">IFERROR(__xludf.DUMMYFUNCTION("""COMPUTED_VALUE"""),733)</f>
        <v>733</v>
      </c>
      <c r="O281" s="19" t="str">
        <f ca="1">IFERROR(__xludf.DUMMYFUNCTION("""COMPUTED_VALUE"""),"PDA Riosucio")</f>
        <v>PDA Riosucio</v>
      </c>
    </row>
    <row r="282" spans="1:15" ht="14.25" customHeight="1" x14ac:dyDescent="0.25">
      <c r="A282" s="63">
        <v>44689</v>
      </c>
      <c r="B282" s="31"/>
      <c r="C282" s="37" t="s">
        <v>499</v>
      </c>
      <c r="D282" s="59">
        <v>721</v>
      </c>
      <c r="E282" s="46" t="s">
        <v>383</v>
      </c>
      <c r="F282" s="59">
        <v>721</v>
      </c>
      <c r="G282" s="37" t="s">
        <v>499</v>
      </c>
      <c r="H282" s="36">
        <v>3176645032</v>
      </c>
      <c r="I282" s="36">
        <v>4109</v>
      </c>
      <c r="J282" s="60"/>
      <c r="K282" s="31"/>
      <c r="L282" s="19" t="str">
        <f ca="1">IFERROR(__xludf.DUMMYFUNCTION("""COMPUTED_VALUE"""),"Pda Santa Rosa De Cabal")</f>
        <v>Pda Santa Rosa De Cabal</v>
      </c>
      <c r="M282" s="19" t="str">
        <f ca="1">IFERROR(__xludf.DUMMYFUNCTION("QUERY(C282:E659,""SELECT * WHERE ( E like  '%""&amp;L282&amp;""%') limit 1"")"),"Eje cafetero")</f>
        <v>Eje cafetero</v>
      </c>
      <c r="N282" s="19">
        <f ca="1">IFERROR(__xludf.DUMMYFUNCTION("""COMPUTED_VALUE"""),721)</f>
        <v>721</v>
      </c>
      <c r="O282" s="19" t="str">
        <f ca="1">IFERROR(__xludf.DUMMYFUNCTION("""COMPUTED_VALUE"""),"Pda Santa Rosa De Cabal")</f>
        <v>Pda Santa Rosa De Cabal</v>
      </c>
    </row>
    <row r="283" spans="1:15" ht="14.25" customHeight="1" x14ac:dyDescent="0.25">
      <c r="A283" s="63">
        <v>44665</v>
      </c>
      <c r="B283" s="31"/>
      <c r="C283" s="37" t="s">
        <v>499</v>
      </c>
      <c r="D283" s="59">
        <v>711</v>
      </c>
      <c r="E283" s="46" t="s">
        <v>356</v>
      </c>
      <c r="F283" s="59">
        <v>711</v>
      </c>
      <c r="G283" s="37" t="s">
        <v>499</v>
      </c>
      <c r="H283" s="36">
        <v>3137443970</v>
      </c>
      <c r="I283" s="36">
        <v>4113</v>
      </c>
      <c r="J283" s="60"/>
      <c r="K283" s="31"/>
      <c r="L283" s="19" t="str">
        <f ca="1">IFERROR(__xludf.DUMMYFUNCTION("""COMPUTED_VALUE"""),"Pda Sevilla")</f>
        <v>Pda Sevilla</v>
      </c>
      <c r="M283" s="19" t="str">
        <f ca="1">IFERROR(__xludf.DUMMYFUNCTION("QUERY(C283:E660,""SELECT * WHERE ( E like  '%""&amp;L283&amp;""%') limit 1"")"),"Eje cafetero")</f>
        <v>Eje cafetero</v>
      </c>
      <c r="N283" s="19">
        <f ca="1">IFERROR(__xludf.DUMMYFUNCTION("""COMPUTED_VALUE"""),711)</f>
        <v>711</v>
      </c>
      <c r="O283" s="19" t="str">
        <f ca="1">IFERROR(__xludf.DUMMYFUNCTION("""COMPUTED_VALUE"""),"Pda Sevilla")</f>
        <v>Pda Sevilla</v>
      </c>
    </row>
    <row r="284" spans="1:15" ht="14.25" customHeight="1" x14ac:dyDescent="0.25">
      <c r="A284" s="63">
        <v>44696</v>
      </c>
      <c r="B284" s="31"/>
      <c r="C284" s="37" t="s">
        <v>499</v>
      </c>
      <c r="D284" s="59">
        <v>720</v>
      </c>
      <c r="E284" s="46" t="s">
        <v>363</v>
      </c>
      <c r="F284" s="59">
        <v>720</v>
      </c>
      <c r="G284" s="37" t="s">
        <v>499</v>
      </c>
      <c r="H284" s="36">
        <v>3184561361</v>
      </c>
      <c r="I284" s="36">
        <v>2042</v>
      </c>
      <c r="J284" s="60"/>
      <c r="K284" s="31"/>
      <c r="L284" s="19" t="str">
        <f ca="1">IFERROR(__xludf.DUMMYFUNCTION("""COMPUTED_VALUE"""),"Pereira Centro")</f>
        <v>Pereira Centro</v>
      </c>
      <c r="M284" s="19" t="str">
        <f ca="1">IFERROR(__xludf.DUMMYFUNCTION("QUERY(C284:E661,""SELECT * WHERE ( E like  '%""&amp;L284&amp;""%') limit 1"")"),"Eje cafetero")</f>
        <v>Eje cafetero</v>
      </c>
      <c r="N284" s="19">
        <f ca="1">IFERROR(__xludf.DUMMYFUNCTION("""COMPUTED_VALUE"""),720)</f>
        <v>720</v>
      </c>
      <c r="O284" s="19" t="str">
        <f ca="1">IFERROR(__xludf.DUMMYFUNCTION("""COMPUTED_VALUE"""),"Pereira Centro")</f>
        <v>Pereira Centro</v>
      </c>
    </row>
    <row r="285" spans="1:15" ht="14.25" customHeight="1" x14ac:dyDescent="0.25">
      <c r="A285" s="63">
        <v>44702</v>
      </c>
      <c r="B285" s="31"/>
      <c r="C285" s="37" t="s">
        <v>499</v>
      </c>
      <c r="D285" s="59">
        <v>730</v>
      </c>
      <c r="E285" s="46" t="s">
        <v>367</v>
      </c>
      <c r="F285" s="59">
        <v>730</v>
      </c>
      <c r="G285" s="37" t="s">
        <v>499</v>
      </c>
      <c r="H285" s="36">
        <v>3188132671</v>
      </c>
      <c r="I285" s="36">
        <v>2046</v>
      </c>
      <c r="J285" s="60"/>
      <c r="K285" s="31"/>
      <c r="L285" s="19" t="str">
        <f ca="1">IFERROR(__xludf.DUMMYFUNCTION("""COMPUTED_VALUE"""),"Pereira Cuba")</f>
        <v>Pereira Cuba</v>
      </c>
      <c r="M285" s="19" t="str">
        <f ca="1">IFERROR(__xludf.DUMMYFUNCTION("QUERY(C285:E662,""SELECT * WHERE ( E like  '%""&amp;L285&amp;""%') limit 1"")"),"Eje cafetero")</f>
        <v>Eje cafetero</v>
      </c>
      <c r="N285" s="19">
        <f ca="1">IFERROR(__xludf.DUMMYFUNCTION("""COMPUTED_VALUE"""),730)</f>
        <v>730</v>
      </c>
      <c r="O285" s="19" t="str">
        <f ca="1">IFERROR(__xludf.DUMMYFUNCTION("""COMPUTED_VALUE"""),"Pereira Cuba")</f>
        <v>Pereira Cuba</v>
      </c>
    </row>
    <row r="286" spans="1:15" ht="14.25" customHeight="1" x14ac:dyDescent="0.25">
      <c r="A286" s="63">
        <v>44703</v>
      </c>
      <c r="B286" s="31"/>
      <c r="C286" s="37" t="s">
        <v>516</v>
      </c>
      <c r="D286" s="59">
        <v>330</v>
      </c>
      <c r="E286" s="46" t="s">
        <v>387</v>
      </c>
      <c r="F286" s="59">
        <v>330</v>
      </c>
      <c r="G286" s="37" t="s">
        <v>516</v>
      </c>
      <c r="H286" s="36">
        <v>3182616779</v>
      </c>
      <c r="I286" s="36">
        <v>2082</v>
      </c>
      <c r="J286" s="60"/>
      <c r="K286" s="31"/>
      <c r="L286" s="19" t="str">
        <f ca="1">IFERROR(__xludf.DUMMYFUNCTION("""COMPUTED_VALUE"""),"Florencia")</f>
        <v>Florencia</v>
      </c>
      <c r="M286" s="19" t="str">
        <f ca="1">IFERROR(__xludf.DUMMYFUNCTION("QUERY(C286:E663,""SELECT * WHERE ( E like  '%""&amp;L286&amp;""%') limit 1"")"),"Huila")</f>
        <v>Huila</v>
      </c>
      <c r="N286" s="19">
        <f ca="1">IFERROR(__xludf.DUMMYFUNCTION("""COMPUTED_VALUE"""),330)</f>
        <v>330</v>
      </c>
      <c r="O286" s="19" t="str">
        <f ca="1">IFERROR(__xludf.DUMMYFUNCTION("""COMPUTED_VALUE"""),"Florencia")</f>
        <v>Florencia</v>
      </c>
    </row>
    <row r="287" spans="1:15" ht="14.25" customHeight="1" x14ac:dyDescent="0.25">
      <c r="A287" s="63">
        <v>44709</v>
      </c>
      <c r="B287" s="64" t="s">
        <v>668</v>
      </c>
      <c r="C287" s="37" t="s">
        <v>516</v>
      </c>
      <c r="D287" s="59">
        <v>511</v>
      </c>
      <c r="E287" s="46" t="s">
        <v>414</v>
      </c>
      <c r="F287" s="59">
        <v>511</v>
      </c>
      <c r="G287" s="37" t="s">
        <v>516</v>
      </c>
      <c r="H287" s="36">
        <v>3168326364</v>
      </c>
      <c r="I287" s="36">
        <v>2338</v>
      </c>
      <c r="J287" s="60"/>
      <c r="K287" s="31"/>
      <c r="L287" s="19" t="str">
        <f ca="1">IFERROR(__xludf.DUMMYFUNCTION("""COMPUTED_VALUE"""),"Garzon")</f>
        <v>Garzon</v>
      </c>
      <c r="M287" s="19" t="str">
        <f ca="1">IFERROR(__xludf.DUMMYFUNCTION("QUERY(C287:E664,""SELECT * WHERE ( E like  '%""&amp;L287&amp;""%') limit 1"")"),"Huila")</f>
        <v>Huila</v>
      </c>
      <c r="N287" s="19">
        <f ca="1">IFERROR(__xludf.DUMMYFUNCTION("""COMPUTED_VALUE"""),511)</f>
        <v>511</v>
      </c>
      <c r="O287" s="19" t="str">
        <f ca="1">IFERROR(__xludf.DUMMYFUNCTION("""COMPUTED_VALUE"""),"Garzon")</f>
        <v>Garzon</v>
      </c>
    </row>
    <row r="288" spans="1:15" ht="14.25" customHeight="1" x14ac:dyDescent="0.25">
      <c r="A288" s="63">
        <v>44710</v>
      </c>
      <c r="B288" s="31"/>
      <c r="C288" s="37" t="s">
        <v>516</v>
      </c>
      <c r="D288" s="59">
        <v>530</v>
      </c>
      <c r="E288" s="46" t="s">
        <v>406</v>
      </c>
      <c r="F288" s="59">
        <v>530</v>
      </c>
      <c r="G288" s="37" t="s">
        <v>516</v>
      </c>
      <c r="H288" s="36">
        <v>3183307682</v>
      </c>
      <c r="I288" s="36">
        <v>2278</v>
      </c>
      <c r="J288" s="60"/>
      <c r="K288" s="31"/>
      <c r="L288" s="19" t="str">
        <f ca="1">IFERROR(__xludf.DUMMYFUNCTION("""COMPUTED_VALUE"""),"Neiva Altico")</f>
        <v>Neiva Altico</v>
      </c>
      <c r="M288" s="19" t="str">
        <f ca="1">IFERROR(__xludf.DUMMYFUNCTION("QUERY(C288:E665,""SELECT * WHERE ( E like  '%""&amp;L288&amp;""%') limit 1"")"),"Huila")</f>
        <v>Huila</v>
      </c>
      <c r="N288" s="19">
        <f ca="1">IFERROR(__xludf.DUMMYFUNCTION("""COMPUTED_VALUE"""),530)</f>
        <v>530</v>
      </c>
      <c r="O288" s="19" t="str">
        <f ca="1">IFERROR(__xludf.DUMMYFUNCTION("""COMPUTED_VALUE"""),"Neiva Altico")</f>
        <v>Neiva Altico</v>
      </c>
    </row>
    <row r="289" spans="1:15" ht="14.25" customHeight="1" x14ac:dyDescent="0.25">
      <c r="A289" s="65">
        <v>44711</v>
      </c>
      <c r="B289" s="31"/>
      <c r="C289" s="37" t="s">
        <v>516</v>
      </c>
      <c r="D289" s="59">
        <v>500</v>
      </c>
      <c r="E289" s="46" t="s">
        <v>392</v>
      </c>
      <c r="F289" s="59">
        <v>500</v>
      </c>
      <c r="G289" s="37" t="s">
        <v>516</v>
      </c>
      <c r="H289" s="36">
        <v>3187171386</v>
      </c>
      <c r="I289" s="36">
        <v>2282</v>
      </c>
      <c r="J289" s="60"/>
      <c r="K289" s="31"/>
      <c r="L289" s="19" t="str">
        <f ca="1">IFERROR(__xludf.DUMMYFUNCTION("""COMPUTED_VALUE"""),"Neiva Centro")</f>
        <v>Neiva Centro</v>
      </c>
      <c r="M289" s="19" t="str">
        <f ca="1">IFERROR(__xludf.DUMMYFUNCTION("QUERY(C289:E666,""SELECT * WHERE ( E like  '%""&amp;L289&amp;""%') limit 1"")"),"Huila")</f>
        <v>Huila</v>
      </c>
      <c r="N289" s="19">
        <f ca="1">IFERROR(__xludf.DUMMYFUNCTION("""COMPUTED_VALUE"""),500)</f>
        <v>500</v>
      </c>
      <c r="O289" s="19" t="str">
        <f ca="1">IFERROR(__xludf.DUMMYFUNCTION("""COMPUTED_VALUE"""),"Neiva Centro")</f>
        <v>Neiva Centro</v>
      </c>
    </row>
    <row r="290" spans="1:15" ht="14.25" customHeight="1" x14ac:dyDescent="0.25">
      <c r="A290" s="23">
        <v>44716</v>
      </c>
      <c r="B290" s="31"/>
      <c r="C290" s="37" t="s">
        <v>516</v>
      </c>
      <c r="D290" s="59">
        <v>510</v>
      </c>
      <c r="E290" s="46" t="s">
        <v>103</v>
      </c>
      <c r="F290" s="59">
        <v>510</v>
      </c>
      <c r="G290" s="37" t="s">
        <v>516</v>
      </c>
      <c r="H290" s="36">
        <v>3185171578</v>
      </c>
      <c r="I290" s="36">
        <v>2286</v>
      </c>
      <c r="J290" s="60"/>
      <c r="K290" s="31"/>
      <c r="L290" s="19" t="str">
        <f ca="1">IFERROR(__xludf.DUMMYFUNCTION("""COMPUTED_VALUE"""),"Neiva Quirinal")</f>
        <v>Neiva Quirinal</v>
      </c>
      <c r="M290" s="19" t="str">
        <f ca="1">IFERROR(__xludf.DUMMYFUNCTION("QUERY(C290:E667,""SELECT * WHERE ( E like  '%""&amp;L290&amp;""%') limit 1"")"),"Huila")</f>
        <v>Huila</v>
      </c>
      <c r="N290" s="19">
        <f ca="1">IFERROR(__xludf.DUMMYFUNCTION("""COMPUTED_VALUE"""),510)</f>
        <v>510</v>
      </c>
      <c r="O290" s="19" t="str">
        <f ca="1">IFERROR(__xludf.DUMMYFUNCTION("""COMPUTED_VALUE"""),"Neiva Quirinal")</f>
        <v>Neiva Quirinal</v>
      </c>
    </row>
    <row r="291" spans="1:15" ht="14.25" customHeight="1" x14ac:dyDescent="0.25">
      <c r="A291" s="23">
        <v>44717</v>
      </c>
      <c r="B291" s="31"/>
      <c r="C291" s="37" t="s">
        <v>516</v>
      </c>
      <c r="D291" s="59">
        <v>502</v>
      </c>
      <c r="E291" s="46" t="s">
        <v>410</v>
      </c>
      <c r="F291" s="59">
        <v>502</v>
      </c>
      <c r="G291" s="37" t="s">
        <v>516</v>
      </c>
      <c r="H291" s="36">
        <v>3185171675</v>
      </c>
      <c r="I291" s="36">
        <v>4039</v>
      </c>
      <c r="J291" s="60"/>
      <c r="K291" s="31"/>
      <c r="L291" s="19" t="str">
        <f ca="1">IFERROR(__xludf.DUMMYFUNCTION("""COMPUTED_VALUE"""),"Pda Campoalegre")</f>
        <v>Pda Campoalegre</v>
      </c>
      <c r="M291" s="19" t="str">
        <f ca="1">IFERROR(__xludf.DUMMYFUNCTION("QUERY(C291:E668,""SELECT * WHERE ( E like  '%""&amp;L291&amp;""%') limit 1"")"),"Huila")</f>
        <v>Huila</v>
      </c>
      <c r="N291" s="19">
        <f ca="1">IFERROR(__xludf.DUMMYFUNCTION("""COMPUTED_VALUE"""),502)</f>
        <v>502</v>
      </c>
      <c r="O291" s="19" t="str">
        <f ca="1">IFERROR(__xludf.DUMMYFUNCTION("""COMPUTED_VALUE"""),"Pda Campoalegre")</f>
        <v>Pda Campoalegre</v>
      </c>
    </row>
    <row r="292" spans="1:15" ht="14.25" customHeight="1" x14ac:dyDescent="0.25">
      <c r="A292" s="23">
        <v>44723</v>
      </c>
      <c r="B292" s="31"/>
      <c r="C292" s="37" t="s">
        <v>516</v>
      </c>
      <c r="D292" s="59">
        <v>525</v>
      </c>
      <c r="E292" s="46" t="s">
        <v>426</v>
      </c>
      <c r="F292" s="59">
        <v>525</v>
      </c>
      <c r="G292" s="37" t="s">
        <v>516</v>
      </c>
      <c r="H292" s="36">
        <v>3135892801</v>
      </c>
      <c r="I292" s="36">
        <v>4063</v>
      </c>
      <c r="J292" s="60"/>
      <c r="K292" s="31"/>
      <c r="L292" s="19" t="str">
        <f ca="1">IFERROR(__xludf.DUMMYFUNCTION("""COMPUTED_VALUE"""),"Pda Isnos")</f>
        <v>Pda Isnos</v>
      </c>
      <c r="M292" s="19" t="str">
        <f ca="1">IFERROR(__xludf.DUMMYFUNCTION("QUERY(C292:E669,""SELECT * WHERE ( E like  '%""&amp;L292&amp;""%') limit 1"")"),"Huila")</f>
        <v>Huila</v>
      </c>
      <c r="N292" s="19">
        <f ca="1">IFERROR(__xludf.DUMMYFUNCTION("""COMPUTED_VALUE"""),525)</f>
        <v>525</v>
      </c>
      <c r="O292" s="19" t="str">
        <f ca="1">IFERROR(__xludf.DUMMYFUNCTION("""COMPUTED_VALUE"""),"Pda Isnos")</f>
        <v>Pda Isnos</v>
      </c>
    </row>
    <row r="293" spans="1:15" ht="14.25" customHeight="1" x14ac:dyDescent="0.25">
      <c r="A293" s="23">
        <v>44724</v>
      </c>
      <c r="B293" s="31"/>
      <c r="C293" s="37" t="s">
        <v>516</v>
      </c>
      <c r="D293" s="59">
        <v>501</v>
      </c>
      <c r="E293" s="46" t="s">
        <v>418</v>
      </c>
      <c r="F293" s="59">
        <v>501</v>
      </c>
      <c r="G293" s="37" t="s">
        <v>516</v>
      </c>
      <c r="H293" s="36">
        <v>3184634318</v>
      </c>
      <c r="I293" s="36">
        <v>4065</v>
      </c>
      <c r="J293" s="60"/>
      <c r="K293" s="31"/>
      <c r="L293" s="19" t="str">
        <f ca="1">IFERROR(__xludf.DUMMYFUNCTION("""COMPUTED_VALUE"""),"Pda La Plata")</f>
        <v>Pda La Plata</v>
      </c>
      <c r="M293" s="19" t="str">
        <f ca="1">IFERROR(__xludf.DUMMYFUNCTION("QUERY(C293:E670,""SELECT * WHERE ( E like  '%""&amp;L293&amp;""%') limit 1"")"),"Huila")</f>
        <v>Huila</v>
      </c>
      <c r="N293" s="19">
        <f ca="1">IFERROR(__xludf.DUMMYFUNCTION("""COMPUTED_VALUE"""),501)</f>
        <v>501</v>
      </c>
      <c r="O293" s="19" t="str">
        <f ca="1">IFERROR(__xludf.DUMMYFUNCTION("""COMPUTED_VALUE"""),"Pda La Plata")</f>
        <v>Pda La Plata</v>
      </c>
    </row>
    <row r="294" spans="1:15" ht="14.25" customHeight="1" x14ac:dyDescent="0.25">
      <c r="A294" s="23">
        <v>44730</v>
      </c>
      <c r="B294" s="31"/>
      <c r="C294" s="37" t="s">
        <v>516</v>
      </c>
      <c r="D294" s="59">
        <v>521</v>
      </c>
      <c r="E294" s="46" t="s">
        <v>434</v>
      </c>
      <c r="F294" s="59">
        <v>521</v>
      </c>
      <c r="G294" s="37" t="s">
        <v>516</v>
      </c>
      <c r="H294" s="36">
        <v>3182616678</v>
      </c>
      <c r="I294" s="36">
        <v>4081</v>
      </c>
      <c r="J294" s="60"/>
      <c r="K294" s="31"/>
      <c r="L294" s="19" t="str">
        <f ca="1">IFERROR(__xludf.DUMMYFUNCTION("""COMPUTED_VALUE"""),"Pda Mocoa")</f>
        <v>Pda Mocoa</v>
      </c>
      <c r="M294" s="19" t="str">
        <f ca="1">IFERROR(__xludf.DUMMYFUNCTION("QUERY(C294:E671,""SELECT * WHERE ( E like  '%""&amp;L294&amp;""%') limit 1"")"),"Huila")</f>
        <v>Huila</v>
      </c>
      <c r="N294" s="19">
        <f ca="1">IFERROR(__xludf.DUMMYFUNCTION("""COMPUTED_VALUE"""),521)</f>
        <v>521</v>
      </c>
      <c r="O294" s="19" t="str">
        <f ca="1">IFERROR(__xludf.DUMMYFUNCTION("""COMPUTED_VALUE"""),"Pda Mocoa")</f>
        <v>Pda Mocoa</v>
      </c>
    </row>
    <row r="295" spans="1:15" ht="14.25" customHeight="1" x14ac:dyDescent="0.25">
      <c r="A295" s="23">
        <v>44731</v>
      </c>
      <c r="B295" s="31"/>
      <c r="C295" s="37" t="s">
        <v>516</v>
      </c>
      <c r="D295" s="59">
        <v>503</v>
      </c>
      <c r="E295" s="46" t="s">
        <v>396</v>
      </c>
      <c r="F295" s="59">
        <v>503</v>
      </c>
      <c r="G295" s="37" t="s">
        <v>516</v>
      </c>
      <c r="H295" s="36">
        <v>3128019438</v>
      </c>
      <c r="I295" s="36">
        <v>4023</v>
      </c>
      <c r="J295" s="60"/>
      <c r="K295" s="31"/>
      <c r="L295" s="19" t="str">
        <f ca="1">IFERROR(__xludf.DUMMYFUNCTION("""COMPUTED_VALUE"""),"Pda Neiva Unicentro")</f>
        <v>Pda Neiva Unicentro</v>
      </c>
      <c r="M295" s="19" t="str">
        <f ca="1">IFERROR(__xludf.DUMMYFUNCTION("QUERY(C295:E672,""SELECT * WHERE ( E like  '%""&amp;L295&amp;""%') limit 1"")"),"Huila")</f>
        <v>Huila</v>
      </c>
      <c r="N295" s="19">
        <f ca="1">IFERROR(__xludf.DUMMYFUNCTION("""COMPUTED_VALUE"""),503)</f>
        <v>503</v>
      </c>
      <c r="O295" s="19" t="str">
        <f ca="1">IFERROR(__xludf.DUMMYFUNCTION("""COMPUTED_VALUE"""),"Pda Neiva Unicentro")</f>
        <v>Pda Neiva Unicentro</v>
      </c>
    </row>
    <row r="296" spans="1:15" ht="14.25" customHeight="1" x14ac:dyDescent="0.25">
      <c r="A296" s="23">
        <v>44732</v>
      </c>
      <c r="B296" s="31"/>
      <c r="C296" s="37" t="s">
        <v>516</v>
      </c>
      <c r="D296" s="59">
        <v>512</v>
      </c>
      <c r="E296" s="46" t="s">
        <v>402</v>
      </c>
      <c r="F296" s="59">
        <v>512</v>
      </c>
      <c r="G296" s="37" t="s">
        <v>516</v>
      </c>
      <c r="H296" s="36">
        <v>3187348787</v>
      </c>
      <c r="I296" s="36">
        <v>4085</v>
      </c>
      <c r="J296" s="60"/>
      <c r="K296" s="31"/>
      <c r="L296" s="19" t="str">
        <f ca="1">IFERROR(__xludf.DUMMYFUNCTION("""COMPUTED_VALUE"""),"Pda Palermo")</f>
        <v>Pda Palermo</v>
      </c>
      <c r="M296" s="19" t="str">
        <f ca="1">IFERROR(__xludf.DUMMYFUNCTION("QUERY(C296:E673,""SELECT * WHERE ( E like  '%""&amp;L296&amp;""%') limit 1"")"),"Huila")</f>
        <v>Huila</v>
      </c>
      <c r="N296" s="19">
        <f ca="1">IFERROR(__xludf.DUMMYFUNCTION("""COMPUTED_VALUE"""),512)</f>
        <v>512</v>
      </c>
      <c r="O296" s="19" t="str">
        <f ca="1">IFERROR(__xludf.DUMMYFUNCTION("""COMPUTED_VALUE"""),"Pda Palermo")</f>
        <v>Pda Palermo</v>
      </c>
    </row>
    <row r="297" spans="1:15" ht="14.25" customHeight="1" x14ac:dyDescent="0.25">
      <c r="A297" s="23">
        <v>44737</v>
      </c>
      <c r="B297" s="31"/>
      <c r="C297" s="37" t="s">
        <v>516</v>
      </c>
      <c r="D297" s="59">
        <v>523</v>
      </c>
      <c r="E297" s="46" t="s">
        <v>669</v>
      </c>
      <c r="F297" s="59">
        <v>523</v>
      </c>
      <c r="G297" s="37" t="s">
        <v>516</v>
      </c>
      <c r="H297" s="36">
        <v>3113540739</v>
      </c>
      <c r="I297" s="36">
        <v>4139</v>
      </c>
      <c r="J297" s="60"/>
      <c r="K297" s="31"/>
      <c r="L297" s="19" t="str">
        <f ca="1">IFERROR(__xludf.DUMMYFUNCTION("""COMPUTED_VALUE"""),"PDA Puerto Asis")</f>
        <v>PDA Puerto Asis</v>
      </c>
      <c r="M297" s="19" t="str">
        <f ca="1">IFERROR(__xludf.DUMMYFUNCTION("QUERY(C297:E674,""SELECT * WHERE ( E like  '%""&amp;L297&amp;""%') limit 1"")"),"Huila")</f>
        <v>Huila</v>
      </c>
      <c r="N297" s="19">
        <f ca="1">IFERROR(__xludf.DUMMYFUNCTION("""COMPUTED_VALUE"""),523)</f>
        <v>523</v>
      </c>
      <c r="O297" s="19" t="str">
        <f ca="1">IFERROR(__xludf.DUMMYFUNCTION("""COMPUTED_VALUE"""),"PDA Puerto Asis")</f>
        <v>PDA Puerto Asis</v>
      </c>
    </row>
    <row r="298" spans="1:15" ht="14.25" customHeight="1" x14ac:dyDescent="0.25">
      <c r="A298" s="23">
        <v>44738</v>
      </c>
      <c r="B298" s="31"/>
      <c r="C298" s="37" t="s">
        <v>516</v>
      </c>
      <c r="D298" s="59">
        <v>520</v>
      </c>
      <c r="E298" s="46" t="s">
        <v>422</v>
      </c>
      <c r="F298" s="59">
        <v>520</v>
      </c>
      <c r="G298" s="37" t="s">
        <v>516</v>
      </c>
      <c r="H298" s="36">
        <v>3187118257</v>
      </c>
      <c r="I298" s="36">
        <v>2378</v>
      </c>
      <c r="J298" s="60"/>
      <c r="K298" s="31"/>
      <c r="L298" s="19" t="str">
        <f ca="1">IFERROR(__xludf.DUMMYFUNCTION("""COMPUTED_VALUE"""),"Pitalito")</f>
        <v>Pitalito</v>
      </c>
      <c r="M298" s="19" t="str">
        <f ca="1">IFERROR(__xludf.DUMMYFUNCTION("QUERY(C298:E675,""SELECT * WHERE ( E like  '%""&amp;L298&amp;""%') limit 1"")"),"Huila")</f>
        <v>Huila</v>
      </c>
      <c r="N298" s="19">
        <f ca="1">IFERROR(__xludf.DUMMYFUNCTION("""COMPUTED_VALUE"""),520)</f>
        <v>520</v>
      </c>
      <c r="O298" s="19" t="str">
        <f ca="1">IFERROR(__xludf.DUMMYFUNCTION("""COMPUTED_VALUE"""),"Pitalito")</f>
        <v>Pitalito</v>
      </c>
    </row>
    <row r="299" spans="1:15" ht="14.25" customHeight="1" x14ac:dyDescent="0.25">
      <c r="A299" s="23">
        <v>44739</v>
      </c>
      <c r="B299" s="31"/>
      <c r="C299" s="37" t="s">
        <v>516</v>
      </c>
      <c r="D299" s="59">
        <v>522</v>
      </c>
      <c r="E299" s="46" t="s">
        <v>430</v>
      </c>
      <c r="F299" s="59">
        <v>522</v>
      </c>
      <c r="G299" s="37" t="s">
        <v>516</v>
      </c>
      <c r="H299" s="36">
        <v>3104003532</v>
      </c>
      <c r="I299" s="36">
        <v>2382</v>
      </c>
      <c r="J299" s="60"/>
      <c r="K299" s="31"/>
      <c r="L299" s="19" t="str">
        <f ca="1">IFERROR(__xludf.DUMMYFUNCTION("""COMPUTED_VALUE"""),"Pitalito Sucre")</f>
        <v>Pitalito Sucre</v>
      </c>
      <c r="M299" s="19" t="str">
        <f ca="1">IFERROR(__xludf.DUMMYFUNCTION("QUERY(C299:E676,""SELECT * WHERE ( E like  '%""&amp;L299&amp;""%') limit 1"")"),"Huila")</f>
        <v>Huila</v>
      </c>
      <c r="N299" s="19">
        <f ca="1">IFERROR(__xludf.DUMMYFUNCTION("""COMPUTED_VALUE"""),522)</f>
        <v>522</v>
      </c>
      <c r="O299" s="19" t="str">
        <f ca="1">IFERROR(__xludf.DUMMYFUNCTION("""COMPUTED_VALUE"""),"Pitalito Sucre")</f>
        <v>Pitalito Sucre</v>
      </c>
    </row>
    <row r="300" spans="1:15" ht="14.25" customHeight="1" x14ac:dyDescent="0.25">
      <c r="A300" s="23">
        <v>44744</v>
      </c>
      <c r="B300" s="31"/>
      <c r="C300" s="37" t="s">
        <v>541</v>
      </c>
      <c r="D300" s="59">
        <v>610</v>
      </c>
      <c r="E300" s="46" t="s">
        <v>531</v>
      </c>
      <c r="F300" s="59">
        <v>610</v>
      </c>
      <c r="G300" s="37" t="s">
        <v>541</v>
      </c>
      <c r="H300" s="36">
        <v>3183594335</v>
      </c>
      <c r="I300" s="36">
        <v>2306</v>
      </c>
      <c r="J300" s="60"/>
      <c r="K300" s="31"/>
      <c r="L300" s="19" t="str">
        <f ca="1">IFERROR(__xludf.DUMMYFUNCTION("""COMPUTED_VALUE"""),"Acacias")</f>
        <v>Acacias</v>
      </c>
      <c r="M300" s="19" t="str">
        <f ca="1">IFERROR(__xludf.DUMMYFUNCTION("QUERY(C300:E677,""SELECT * WHERE ( E like  '%""&amp;L300&amp;""%') limit 1"")"),"Llanos orientales")</f>
        <v>Llanos orientales</v>
      </c>
      <c r="N300" s="19">
        <f ca="1">IFERROR(__xludf.DUMMYFUNCTION("""COMPUTED_VALUE"""),610)</f>
        <v>610</v>
      </c>
      <c r="O300" s="19" t="str">
        <f ca="1">IFERROR(__xludf.DUMMYFUNCTION("""COMPUTED_VALUE"""),"Acacias")</f>
        <v>Acacias</v>
      </c>
    </row>
    <row r="301" spans="1:15" ht="14.25" customHeight="1" x14ac:dyDescent="0.25">
      <c r="A301" s="23">
        <v>44745</v>
      </c>
      <c r="B301" s="31"/>
      <c r="C301" s="37" t="s">
        <v>541</v>
      </c>
      <c r="D301" s="59">
        <v>611</v>
      </c>
      <c r="E301" s="46" t="s">
        <v>38</v>
      </c>
      <c r="F301" s="59">
        <v>611</v>
      </c>
      <c r="G301" s="37" t="s">
        <v>541</v>
      </c>
      <c r="H301" s="36">
        <v>3183706633</v>
      </c>
      <c r="I301" s="36">
        <v>2342</v>
      </c>
      <c r="J301" s="60"/>
      <c r="K301" s="31"/>
      <c r="L301" s="19" t="str">
        <f ca="1">IFERROR(__xludf.DUMMYFUNCTION("""COMPUTED_VALUE"""),"Granada")</f>
        <v>Granada</v>
      </c>
      <c r="M301" s="19" t="str">
        <f ca="1">IFERROR(__xludf.DUMMYFUNCTION("QUERY(C301:E678,""SELECT * WHERE ( E like  '%""&amp;L301&amp;""%') limit 1"")"),"Llanos orientales")</f>
        <v>Llanos orientales</v>
      </c>
      <c r="N301" s="19">
        <f ca="1">IFERROR(__xludf.DUMMYFUNCTION("""COMPUTED_VALUE"""),611)</f>
        <v>611</v>
      </c>
      <c r="O301" s="19" t="str">
        <f ca="1">IFERROR(__xludf.DUMMYFUNCTION("""COMPUTED_VALUE"""),"Granada")</f>
        <v>Granada</v>
      </c>
    </row>
    <row r="302" spans="1:15" ht="14.25" customHeight="1" x14ac:dyDescent="0.25">
      <c r="A302" s="23">
        <v>44746</v>
      </c>
      <c r="B302" s="31"/>
      <c r="C302" s="37" t="s">
        <v>541</v>
      </c>
      <c r="D302" s="59">
        <v>612</v>
      </c>
      <c r="E302" s="46" t="s">
        <v>533</v>
      </c>
      <c r="F302" s="59">
        <v>612</v>
      </c>
      <c r="G302" s="37" t="s">
        <v>541</v>
      </c>
      <c r="H302" s="36">
        <v>3105371467</v>
      </c>
      <c r="I302" s="36">
        <v>4121</v>
      </c>
      <c r="J302" s="60"/>
      <c r="K302" s="31"/>
      <c r="L302" s="19" t="str">
        <f ca="1">IFERROR(__xludf.DUMMYFUNCTION("""COMPUTED_VALUE"""),"Guamal")</f>
        <v>Guamal</v>
      </c>
      <c r="M302" s="19" t="str">
        <f ca="1">IFERROR(__xludf.DUMMYFUNCTION("QUERY(C302:E679,""SELECT * WHERE ( E like  '%""&amp;L302&amp;""%') limit 1"")"),"Llanos orientales")</f>
        <v>Llanos orientales</v>
      </c>
      <c r="N302" s="19">
        <f ca="1">IFERROR(__xludf.DUMMYFUNCTION("""COMPUTED_VALUE"""),612)</f>
        <v>612</v>
      </c>
      <c r="O302" s="19" t="str">
        <f ca="1">IFERROR(__xludf.DUMMYFUNCTION("""COMPUTED_VALUE"""),"Guamal")</f>
        <v>Guamal</v>
      </c>
    </row>
    <row r="303" spans="1:15" ht="14.25" customHeight="1" x14ac:dyDescent="0.25">
      <c r="A303" s="51">
        <v>44751</v>
      </c>
      <c r="B303" s="31"/>
      <c r="C303" s="37" t="s">
        <v>541</v>
      </c>
      <c r="D303" s="59">
        <v>620</v>
      </c>
      <c r="E303" s="46" t="s">
        <v>535</v>
      </c>
      <c r="F303" s="59">
        <v>620</v>
      </c>
      <c r="G303" s="37" t="s">
        <v>541</v>
      </c>
      <c r="H303" s="36">
        <v>3184561660</v>
      </c>
      <c r="I303" s="36">
        <v>2151</v>
      </c>
      <c r="J303" s="60"/>
      <c r="K303" s="31"/>
      <c r="L303" s="19" t="str">
        <f ca="1">IFERROR(__xludf.DUMMYFUNCTION("""COMPUTED_VALUE"""),"Mi Llanura")</f>
        <v>Mi Llanura</v>
      </c>
      <c r="M303" s="19" t="str">
        <f ca="1">IFERROR(__xludf.DUMMYFUNCTION("QUERY(C303:E680,""SELECT * WHERE ( E like  '%""&amp;L303&amp;""%') limit 1"")"),"Llanos orientales")</f>
        <v>Llanos orientales</v>
      </c>
      <c r="N303" s="19">
        <f ca="1">IFERROR(__xludf.DUMMYFUNCTION("""COMPUTED_VALUE"""),620)</f>
        <v>620</v>
      </c>
      <c r="O303" s="19" t="str">
        <f ca="1">IFERROR(__xludf.DUMMYFUNCTION("""COMPUTED_VALUE"""),"Mi Llanura")</f>
        <v>Mi Llanura</v>
      </c>
    </row>
    <row r="304" spans="1:15" ht="14.25" customHeight="1" x14ac:dyDescent="0.25">
      <c r="A304" s="51">
        <v>44752</v>
      </c>
      <c r="B304" s="31"/>
      <c r="C304" s="37" t="s">
        <v>541</v>
      </c>
      <c r="D304" s="59">
        <v>613</v>
      </c>
      <c r="E304" s="46" t="s">
        <v>670</v>
      </c>
      <c r="F304" s="59">
        <v>613</v>
      </c>
      <c r="G304" s="37" t="s">
        <v>541</v>
      </c>
      <c r="H304" s="36">
        <v>3137878680</v>
      </c>
      <c r="I304" s="36">
        <v>4137</v>
      </c>
      <c r="J304" s="60"/>
      <c r="K304" s="31"/>
      <c r="L304" s="19" t="str">
        <f ca="1">IFERROR(__xludf.DUMMYFUNCTION("""COMPUTED_VALUE"""),"PDA Las Delicias")</f>
        <v>PDA Las Delicias</v>
      </c>
      <c r="M304" s="19" t="str">
        <f ca="1">IFERROR(__xludf.DUMMYFUNCTION("QUERY(C304:E681,""SELECT * WHERE ( E like  '%""&amp;L304&amp;""%') limit 1"")"),"Llanos orientales")</f>
        <v>Llanos orientales</v>
      </c>
      <c r="N304" s="19">
        <f ca="1">IFERROR(__xludf.DUMMYFUNCTION("""COMPUTED_VALUE"""),613)</f>
        <v>613</v>
      </c>
      <c r="O304" s="19" t="str">
        <f ca="1">IFERROR(__xludf.DUMMYFUNCTION("""COMPUTED_VALUE"""),"PDA Las Delicias")</f>
        <v>PDA Las Delicias</v>
      </c>
    </row>
    <row r="305" spans="1:15" ht="14.25" customHeight="1" x14ac:dyDescent="0.25">
      <c r="A305" s="51">
        <v>44758</v>
      </c>
      <c r="B305" s="31"/>
      <c r="C305" s="37" t="s">
        <v>541</v>
      </c>
      <c r="D305" s="59">
        <v>911</v>
      </c>
      <c r="E305" s="46" t="s">
        <v>548</v>
      </c>
      <c r="F305" s="59">
        <v>911</v>
      </c>
      <c r="G305" s="37" t="s">
        <v>541</v>
      </c>
      <c r="H305" s="36">
        <v>3155071817</v>
      </c>
      <c r="I305" s="36">
        <v>4087</v>
      </c>
      <c r="J305" s="60"/>
      <c r="K305" s="31"/>
      <c r="L305" s="19" t="str">
        <f ca="1">IFERROR(__xludf.DUMMYFUNCTION("""COMPUTED_VALUE"""),"Pda Paz De Ariporo")</f>
        <v>Pda Paz De Ariporo</v>
      </c>
      <c r="M305" s="19" t="str">
        <f ca="1">IFERROR(__xludf.DUMMYFUNCTION("QUERY(C305:E682,""SELECT * WHERE ( E like  '%""&amp;L305&amp;""%') limit 1"")"),"Llanos orientales")</f>
        <v>Llanos orientales</v>
      </c>
      <c r="N305" s="19">
        <f ca="1">IFERROR(__xludf.DUMMYFUNCTION("""COMPUTED_VALUE"""),911)</f>
        <v>911</v>
      </c>
      <c r="O305" s="19" t="str">
        <f ca="1">IFERROR(__xludf.DUMMYFUNCTION("""COMPUTED_VALUE"""),"Pda Paz De Ariporo")</f>
        <v>Pda Paz De Ariporo</v>
      </c>
    </row>
    <row r="306" spans="1:15" ht="14.25" customHeight="1" x14ac:dyDescent="0.25">
      <c r="A306" s="51">
        <v>44759</v>
      </c>
      <c r="B306" s="31"/>
      <c r="C306" s="37" t="s">
        <v>541</v>
      </c>
      <c r="D306" s="59">
        <v>631</v>
      </c>
      <c r="E306" s="46" t="s">
        <v>544</v>
      </c>
      <c r="F306" s="59">
        <v>631</v>
      </c>
      <c r="G306" s="37" t="s">
        <v>541</v>
      </c>
      <c r="H306" s="36">
        <v>3163797962</v>
      </c>
      <c r="I306" s="36">
        <v>4117</v>
      </c>
      <c r="J306" s="60"/>
      <c r="K306" s="31"/>
      <c r="L306" s="19" t="str">
        <f ca="1">IFERROR(__xludf.DUMMYFUNCTION("""COMPUTED_VALUE"""),"Pda Villanueva")</f>
        <v>Pda Villanueva</v>
      </c>
      <c r="M306" s="19" t="str">
        <f ca="1">IFERROR(__xludf.DUMMYFUNCTION("QUERY(C306:E683,""SELECT * WHERE ( E like  '%""&amp;L306&amp;""%') limit 1"")"),"Llanos orientales")</f>
        <v>Llanos orientales</v>
      </c>
      <c r="N306" s="19">
        <f ca="1">IFERROR(__xludf.DUMMYFUNCTION("""COMPUTED_VALUE"""),631)</f>
        <v>631</v>
      </c>
      <c r="O306" s="19" t="str">
        <f ca="1">IFERROR(__xludf.DUMMYFUNCTION("""COMPUTED_VALUE"""),"Pda Villanueva")</f>
        <v>Pda Villanueva</v>
      </c>
    </row>
    <row r="307" spans="1:15" ht="14.25" customHeight="1" x14ac:dyDescent="0.25">
      <c r="A307" s="51">
        <v>44762</v>
      </c>
      <c r="B307" s="31"/>
      <c r="C307" s="37" t="s">
        <v>541</v>
      </c>
      <c r="D307" s="59">
        <v>621</v>
      </c>
      <c r="E307" s="46" t="s">
        <v>537</v>
      </c>
      <c r="F307" s="59">
        <v>621</v>
      </c>
      <c r="G307" s="37" t="s">
        <v>541</v>
      </c>
      <c r="H307" s="36">
        <v>3184561600</v>
      </c>
      <c r="I307" s="36">
        <v>2386</v>
      </c>
      <c r="J307" s="60"/>
      <c r="K307" s="31"/>
      <c r="L307" s="19" t="str">
        <f ca="1">IFERROR(__xludf.DUMMYFUNCTION("""COMPUTED_VALUE"""),"Puerto Lopez")</f>
        <v>Puerto Lopez</v>
      </c>
      <c r="M307" s="19" t="str">
        <f ca="1">IFERROR(__xludf.DUMMYFUNCTION("QUERY(C307:E684,""SELECT * WHERE ( E like  '%""&amp;L307&amp;""%') limit 1"")"),"Llanos orientales")</f>
        <v>Llanos orientales</v>
      </c>
      <c r="N307" s="19">
        <f ca="1">IFERROR(__xludf.DUMMYFUNCTION("""COMPUTED_VALUE"""),621)</f>
        <v>621</v>
      </c>
      <c r="O307" s="19" t="str">
        <f ca="1">IFERROR(__xludf.DUMMYFUNCTION("""COMPUTED_VALUE"""),"Puerto Lopez")</f>
        <v>Puerto Lopez</v>
      </c>
    </row>
    <row r="308" spans="1:15" ht="14.25" customHeight="1" x14ac:dyDescent="0.25">
      <c r="A308" s="51">
        <v>44765</v>
      </c>
      <c r="B308" s="31"/>
      <c r="C308" s="37" t="s">
        <v>541</v>
      </c>
      <c r="D308" s="59">
        <v>630</v>
      </c>
      <c r="E308" s="46" t="s">
        <v>83</v>
      </c>
      <c r="F308" s="59">
        <v>630</v>
      </c>
      <c r="G308" s="37" t="s">
        <v>541</v>
      </c>
      <c r="H308" s="36">
        <v>3168750996</v>
      </c>
      <c r="I308" s="36">
        <v>2146</v>
      </c>
      <c r="J308" s="60"/>
      <c r="K308" s="31"/>
      <c r="L308" s="19" t="str">
        <f ca="1">IFERROR(__xludf.DUMMYFUNCTION("""COMPUTED_VALUE"""),"Villavicencio Barzal")</f>
        <v>Villavicencio Barzal</v>
      </c>
      <c r="M308" s="19" t="str">
        <f ca="1">IFERROR(__xludf.DUMMYFUNCTION("QUERY(C308:E685,""SELECT * WHERE ( E like  '%""&amp;L308&amp;""%') limit 1"")"),"Llanos orientales")</f>
        <v>Llanos orientales</v>
      </c>
      <c r="N308" s="19">
        <f ca="1">IFERROR(__xludf.DUMMYFUNCTION("""COMPUTED_VALUE"""),630)</f>
        <v>630</v>
      </c>
      <c r="O308" s="19" t="str">
        <f ca="1">IFERROR(__xludf.DUMMYFUNCTION("""COMPUTED_VALUE"""),"Villavicencio Barzal")</f>
        <v>Villavicencio Barzal</v>
      </c>
    </row>
    <row r="309" spans="1:15" ht="14.25" customHeight="1" x14ac:dyDescent="0.25">
      <c r="A309" s="51">
        <v>44766</v>
      </c>
      <c r="B309" s="31"/>
      <c r="C309" s="37" t="s">
        <v>541</v>
      </c>
      <c r="D309" s="59">
        <v>690</v>
      </c>
      <c r="E309" s="46" t="s">
        <v>542</v>
      </c>
      <c r="F309" s="59">
        <v>690</v>
      </c>
      <c r="G309" s="37" t="s">
        <v>541</v>
      </c>
      <c r="H309" s="36">
        <v>3106341986</v>
      </c>
      <c r="I309" s="36">
        <v>2143</v>
      </c>
      <c r="J309" s="60"/>
      <c r="K309" s="31"/>
      <c r="L309" s="19" t="str">
        <f ca="1">IFERROR(__xludf.DUMMYFUNCTION("""COMPUTED_VALUE"""),"Villavicencio Centro")</f>
        <v>Villavicencio Centro</v>
      </c>
      <c r="M309" s="19" t="str">
        <f ca="1">IFERROR(__xludf.DUMMYFUNCTION("QUERY(C309:E686,""SELECT * WHERE ( E like  '%""&amp;L309&amp;""%') limit 1"")"),"Llanos orientales")</f>
        <v>Llanos orientales</v>
      </c>
      <c r="N309" s="19">
        <f ca="1">IFERROR(__xludf.DUMMYFUNCTION("""COMPUTED_VALUE"""),690)</f>
        <v>690</v>
      </c>
      <c r="O309" s="19" t="str">
        <f ca="1">IFERROR(__xludf.DUMMYFUNCTION("""COMPUTED_VALUE"""),"Villavicencio Centro")</f>
        <v>Villavicencio Centro</v>
      </c>
    </row>
    <row r="310" spans="1:15" ht="14.25" customHeight="1" x14ac:dyDescent="0.25">
      <c r="A310" s="51">
        <v>44772</v>
      </c>
      <c r="B310" s="31"/>
      <c r="C310" s="37" t="s">
        <v>541</v>
      </c>
      <c r="D310" s="59">
        <v>910</v>
      </c>
      <c r="E310" s="46" t="s">
        <v>546</v>
      </c>
      <c r="F310" s="59">
        <v>910</v>
      </c>
      <c r="G310" s="37" t="s">
        <v>541</v>
      </c>
      <c r="H310" s="36">
        <v>3164720530</v>
      </c>
      <c r="I310" s="36">
        <v>2134</v>
      </c>
      <c r="J310" s="60"/>
      <c r="K310" s="31"/>
      <c r="L310" s="19" t="str">
        <f ca="1">IFERROR(__xludf.DUMMYFUNCTION("""COMPUTED_VALUE"""),"Yopal")</f>
        <v>Yopal</v>
      </c>
      <c r="M310" s="19" t="str">
        <f ca="1">IFERROR(__xludf.DUMMYFUNCTION("QUERY(C310:E687,""SELECT * WHERE ( E like  '%""&amp;L310&amp;""%') limit 1"")"),"Llanos orientales")</f>
        <v>Llanos orientales</v>
      </c>
      <c r="N310" s="19">
        <f ca="1">IFERROR(__xludf.DUMMYFUNCTION("""COMPUTED_VALUE"""),910)</f>
        <v>910</v>
      </c>
      <c r="O310" s="19" t="str">
        <f ca="1">IFERROR(__xludf.DUMMYFUNCTION("""COMPUTED_VALUE"""),"Yopal")</f>
        <v>Yopal</v>
      </c>
    </row>
    <row r="311" spans="1:15" ht="14.25" customHeight="1" x14ac:dyDescent="0.25">
      <c r="A311" s="51">
        <v>44773</v>
      </c>
      <c r="B311" s="31"/>
      <c r="C311" s="37" t="s">
        <v>567</v>
      </c>
      <c r="D311" s="59">
        <v>670</v>
      </c>
      <c r="E311" s="46" t="s">
        <v>240</v>
      </c>
      <c r="F311" s="59">
        <v>670</v>
      </c>
      <c r="G311" s="37" t="s">
        <v>567</v>
      </c>
      <c r="H311" s="36">
        <v>3173670767</v>
      </c>
      <c r="I311" s="36">
        <v>2347</v>
      </c>
      <c r="J311" s="60"/>
      <c r="K311" s="31"/>
      <c r="L311" s="19" t="str">
        <f ca="1">IFERROR(__xludf.DUMMYFUNCTION("""COMPUTED_VALUE"""),"Ipiales Centro")</f>
        <v>Ipiales Centro</v>
      </c>
      <c r="M311" s="19" t="str">
        <f ca="1">IFERROR(__xludf.DUMMYFUNCTION("QUERY(C311:E688,""SELECT * WHERE ( E like  '%""&amp;L311&amp;""%') limit 1"")"),"Nariño")</f>
        <v>Nariño</v>
      </c>
      <c r="N311" s="19">
        <f ca="1">IFERROR(__xludf.DUMMYFUNCTION("""COMPUTED_VALUE"""),670)</f>
        <v>670</v>
      </c>
      <c r="O311" s="19" t="str">
        <f ca="1">IFERROR(__xludf.DUMMYFUNCTION("""COMPUTED_VALUE"""),"Ipiales Centro")</f>
        <v>Ipiales Centro</v>
      </c>
    </row>
    <row r="312" spans="1:15" ht="14.25" customHeight="1" x14ac:dyDescent="0.25">
      <c r="A312" s="51">
        <v>44779</v>
      </c>
      <c r="B312" s="31"/>
      <c r="C312" s="37" t="s">
        <v>567</v>
      </c>
      <c r="D312" s="59">
        <v>930</v>
      </c>
      <c r="E312" s="46" t="s">
        <v>249</v>
      </c>
      <c r="F312" s="59">
        <v>930</v>
      </c>
      <c r="G312" s="37" t="s">
        <v>567</v>
      </c>
      <c r="H312" s="36">
        <v>3117472861</v>
      </c>
      <c r="I312" s="36">
        <v>2350</v>
      </c>
      <c r="J312" s="60"/>
      <c r="K312" s="31"/>
      <c r="L312" s="19" t="str">
        <f ca="1">IFERROR(__xludf.DUMMYFUNCTION("""COMPUTED_VALUE"""),"Ipiales Mistares")</f>
        <v>Ipiales Mistares</v>
      </c>
      <c r="M312" s="19" t="str">
        <f ca="1">IFERROR(__xludf.DUMMYFUNCTION("QUERY(C312:E689,""SELECT * WHERE ( E like  '%""&amp;L312&amp;""%') limit 1"")"),"Nariño")</f>
        <v>Nariño</v>
      </c>
      <c r="N312" s="19">
        <f ca="1">IFERROR(__xludf.DUMMYFUNCTION("""COMPUTED_VALUE"""),930)</f>
        <v>930</v>
      </c>
      <c r="O312" s="19" t="str">
        <f ca="1">IFERROR(__xludf.DUMMYFUNCTION("""COMPUTED_VALUE"""),"Ipiales Mistares")</f>
        <v>Ipiales Mistares</v>
      </c>
    </row>
    <row r="313" spans="1:15" ht="14.25" customHeight="1" x14ac:dyDescent="0.25">
      <c r="A313" s="51">
        <v>44780</v>
      </c>
      <c r="B313" s="31"/>
      <c r="C313" s="37" t="s">
        <v>567</v>
      </c>
      <c r="D313" s="59">
        <v>641</v>
      </c>
      <c r="E313" s="46" t="s">
        <v>570</v>
      </c>
      <c r="F313" s="59">
        <v>641</v>
      </c>
      <c r="G313" s="37" t="s">
        <v>567</v>
      </c>
      <c r="H313" s="36">
        <v>3188278613</v>
      </c>
      <c r="I313" s="36">
        <v>2362</v>
      </c>
      <c r="J313" s="60"/>
      <c r="K313" s="31"/>
      <c r="L313" s="19" t="str">
        <f ca="1">IFERROR(__xludf.DUMMYFUNCTION("""COMPUTED_VALUE"""),"La Unión")</f>
        <v>La Unión</v>
      </c>
      <c r="M313" s="19" t="str">
        <f ca="1">IFERROR(__xludf.DUMMYFUNCTION("QUERY(C313:E690,""SELECT * WHERE ( E like  '%""&amp;L313&amp;""%') limit 1"")"),"Nariño")</f>
        <v>Nariño</v>
      </c>
      <c r="N313" s="19">
        <f ca="1">IFERROR(__xludf.DUMMYFUNCTION("""COMPUTED_VALUE"""),641)</f>
        <v>641</v>
      </c>
      <c r="O313" s="19" t="str">
        <f ca="1">IFERROR(__xludf.DUMMYFUNCTION("""COMPUTED_VALUE"""),"La Unión")</f>
        <v>La Unión</v>
      </c>
    </row>
    <row r="314" spans="1:15" ht="14.25" customHeight="1" x14ac:dyDescent="0.25">
      <c r="A314" s="51">
        <v>44786</v>
      </c>
      <c r="B314" s="31"/>
      <c r="C314" s="37" t="s">
        <v>567</v>
      </c>
      <c r="D314" s="59">
        <v>640</v>
      </c>
      <c r="E314" s="46" t="s">
        <v>179</v>
      </c>
      <c r="F314" s="59">
        <v>640</v>
      </c>
      <c r="G314" s="37" t="s">
        <v>567</v>
      </c>
      <c r="H314" s="36">
        <v>3173670773</v>
      </c>
      <c r="I314" s="36">
        <v>2187</v>
      </c>
      <c r="J314" s="60"/>
      <c r="K314" s="31"/>
      <c r="L314" s="19" t="str">
        <f ca="1">IFERROR(__xludf.DUMMYFUNCTION("""COMPUTED_VALUE"""),"Pasto Centro")</f>
        <v>Pasto Centro</v>
      </c>
      <c r="M314" s="19" t="str">
        <f ca="1">IFERROR(__xludf.DUMMYFUNCTION("QUERY(C314:E691,""SELECT * WHERE ( E like  '%""&amp;L314&amp;""%') limit 1"")"),"Nariño")</f>
        <v>Nariño</v>
      </c>
      <c r="N314" s="19">
        <f ca="1">IFERROR(__xludf.DUMMYFUNCTION("""COMPUTED_VALUE"""),640)</f>
        <v>640</v>
      </c>
      <c r="O314" s="19" t="str">
        <f ca="1">IFERROR(__xludf.DUMMYFUNCTION("""COMPUTED_VALUE"""),"Pasto Centro")</f>
        <v>Pasto Centro</v>
      </c>
    </row>
    <row r="315" spans="1:15" ht="14.25" customHeight="1" x14ac:dyDescent="0.25">
      <c r="A315" s="51">
        <v>44787</v>
      </c>
      <c r="B315" s="31"/>
      <c r="C315" s="37" t="s">
        <v>567</v>
      </c>
      <c r="D315" s="59">
        <v>660</v>
      </c>
      <c r="E315" s="46" t="s">
        <v>574</v>
      </c>
      <c r="F315" s="59">
        <v>660</v>
      </c>
      <c r="G315" s="37" t="s">
        <v>567</v>
      </c>
      <c r="H315" s="36">
        <v>3185171671</v>
      </c>
      <c r="I315" s="36">
        <v>2190</v>
      </c>
      <c r="J315" s="60"/>
      <c r="K315" s="31"/>
      <c r="L315" s="19" t="str">
        <f ca="1">IFERROR(__xludf.DUMMYFUNCTION("""COMPUTED_VALUE"""),"Pasto Las Lunas")</f>
        <v>Pasto Las Lunas</v>
      </c>
      <c r="M315" s="19" t="str">
        <f ca="1">IFERROR(__xludf.DUMMYFUNCTION("QUERY(C315:E692,""SELECT * WHERE ( E like  '%""&amp;L315&amp;""%') limit 1"")"),"Nariño")</f>
        <v>Nariño</v>
      </c>
      <c r="N315" s="19">
        <f ca="1">IFERROR(__xludf.DUMMYFUNCTION("""COMPUTED_VALUE"""),660)</f>
        <v>660</v>
      </c>
      <c r="O315" s="19" t="str">
        <f ca="1">IFERROR(__xludf.DUMMYFUNCTION("""COMPUTED_VALUE"""),"Pasto Las Lunas")</f>
        <v>Pasto Las Lunas</v>
      </c>
    </row>
    <row r="316" spans="1:15" ht="14.25" customHeight="1" x14ac:dyDescent="0.25">
      <c r="A316" s="51">
        <v>44788</v>
      </c>
      <c r="B316" s="31"/>
      <c r="C316" s="37" t="s">
        <v>567</v>
      </c>
      <c r="D316" s="59">
        <v>680</v>
      </c>
      <c r="E316" s="46" t="s">
        <v>218</v>
      </c>
      <c r="F316" s="59">
        <v>680</v>
      </c>
      <c r="G316" s="37" t="s">
        <v>567</v>
      </c>
      <c r="H316" s="36">
        <v>3186296712</v>
      </c>
      <c r="I316" s="36">
        <v>2194</v>
      </c>
      <c r="J316" s="60"/>
      <c r="K316" s="31"/>
      <c r="L316" s="19" t="str">
        <f ca="1">IFERROR(__xludf.DUMMYFUNCTION("""COMPUTED_VALUE"""),"Pasto Panamericana")</f>
        <v>Pasto Panamericana</v>
      </c>
      <c r="M316" s="19" t="str">
        <f ca="1">IFERROR(__xludf.DUMMYFUNCTION("QUERY(C316:E693,""SELECT * WHERE ( E like  '%""&amp;L316&amp;""%') limit 1"")"),"Nariño")</f>
        <v>Nariño</v>
      </c>
      <c r="N316" s="19">
        <f ca="1">IFERROR(__xludf.DUMMYFUNCTION("""COMPUTED_VALUE"""),680)</f>
        <v>680</v>
      </c>
      <c r="O316" s="19" t="str">
        <f ca="1">IFERROR(__xludf.DUMMYFUNCTION("""COMPUTED_VALUE"""),"Pasto Panamericana")</f>
        <v>Pasto Panamericana</v>
      </c>
    </row>
    <row r="317" spans="1:15" ht="14.25" customHeight="1" x14ac:dyDescent="0.25">
      <c r="A317" s="51">
        <v>44793</v>
      </c>
      <c r="B317" s="31"/>
      <c r="C317" s="37" t="s">
        <v>567</v>
      </c>
      <c r="D317" s="59">
        <v>650</v>
      </c>
      <c r="E317" s="46" t="s">
        <v>54</v>
      </c>
      <c r="F317" s="59">
        <v>650</v>
      </c>
      <c r="G317" s="37" t="s">
        <v>567</v>
      </c>
      <c r="H317" s="36">
        <v>3185894940</v>
      </c>
      <c r="I317" s="36">
        <v>2198</v>
      </c>
      <c r="J317" s="60"/>
      <c r="K317" s="31"/>
      <c r="L317" s="19" t="str">
        <f ca="1">IFERROR(__xludf.DUMMYFUNCTION("""COMPUTED_VALUE"""),"Pasto Sur")</f>
        <v>Pasto Sur</v>
      </c>
      <c r="M317" s="19" t="str">
        <f ca="1">IFERROR(__xludf.DUMMYFUNCTION("QUERY(C317:E694,""SELECT * WHERE ( E like  '%""&amp;L317&amp;""%') limit 1"")"),"Nariño")</f>
        <v>Nariño</v>
      </c>
      <c r="N317" s="19">
        <f ca="1">IFERROR(__xludf.DUMMYFUNCTION("""COMPUTED_VALUE"""),650)</f>
        <v>650</v>
      </c>
      <c r="O317" s="19" t="str">
        <f ca="1">IFERROR(__xludf.DUMMYFUNCTION("""COMPUTED_VALUE"""),"Pasto Sur")</f>
        <v>Pasto Sur</v>
      </c>
    </row>
    <row r="318" spans="1:15" ht="14.25" customHeight="1" x14ac:dyDescent="0.25">
      <c r="A318" s="51">
        <v>44794</v>
      </c>
      <c r="B318" s="31"/>
      <c r="C318" s="37" t="s">
        <v>567</v>
      </c>
      <c r="D318" s="59">
        <v>671</v>
      </c>
      <c r="E318" s="46" t="s">
        <v>252</v>
      </c>
      <c r="F318" s="59">
        <v>671</v>
      </c>
      <c r="G318" s="37" t="s">
        <v>567</v>
      </c>
      <c r="H318" s="36">
        <v>3135469098</v>
      </c>
      <c r="I318" s="36">
        <v>4053</v>
      </c>
      <c r="J318" s="60"/>
      <c r="K318" s="31"/>
      <c r="L318" s="19" t="str">
        <f ca="1">IFERROR(__xludf.DUMMYFUNCTION("""COMPUTED_VALUE"""),"Pda Cumbal")</f>
        <v>Pda Cumbal</v>
      </c>
      <c r="M318" s="19" t="str">
        <f ca="1">IFERROR(__xludf.DUMMYFUNCTION("QUERY(C318:E695,""SELECT * WHERE ( E like  '%""&amp;L318&amp;""%') limit 1"")"),"Nariño")</f>
        <v>Nariño</v>
      </c>
      <c r="N318" s="19">
        <f ca="1">IFERROR(__xludf.DUMMYFUNCTION("""COMPUTED_VALUE"""),671)</f>
        <v>671</v>
      </c>
      <c r="O318" s="19" t="str">
        <f ca="1">IFERROR(__xludf.DUMMYFUNCTION("""COMPUTED_VALUE"""),"Pda Cumbal")</f>
        <v>Pda Cumbal</v>
      </c>
    </row>
    <row r="319" spans="1:15" ht="14.25" customHeight="1" x14ac:dyDescent="0.25">
      <c r="A319" s="51">
        <v>44800</v>
      </c>
      <c r="B319" s="31"/>
      <c r="C319" s="37" t="s">
        <v>567</v>
      </c>
      <c r="D319" s="59">
        <v>682</v>
      </c>
      <c r="E319" s="46" t="s">
        <v>671</v>
      </c>
      <c r="F319" s="59">
        <v>682</v>
      </c>
      <c r="G319" s="37" t="s">
        <v>567</v>
      </c>
      <c r="H319" s="36">
        <v>3137878737</v>
      </c>
      <c r="I319" s="36">
        <v>4133</v>
      </c>
      <c r="J319" s="60"/>
      <c r="K319" s="31"/>
      <c r="L319" s="19" t="str">
        <f ca="1">IFERROR(__xludf.DUMMYFUNCTION("""COMPUTED_VALUE"""),"PdA El Tambo Nariño")</f>
        <v>PdA El Tambo Nariño</v>
      </c>
      <c r="M319" s="19" t="str">
        <f ca="1">IFERROR(__xludf.DUMMYFUNCTION("QUERY(C319:E696,""SELECT * WHERE ( E like  '%""&amp;L319&amp;""%') limit 1"")"),"Nariño")</f>
        <v>Nariño</v>
      </c>
      <c r="N319" s="19">
        <f ca="1">IFERROR(__xludf.DUMMYFUNCTION("""COMPUTED_VALUE"""),682)</f>
        <v>682</v>
      </c>
      <c r="O319" s="19" t="str">
        <f ca="1">IFERROR(__xludf.DUMMYFUNCTION("""COMPUTED_VALUE"""),"PdA El Tambo Nariño")</f>
        <v>PdA El Tambo Nariño</v>
      </c>
    </row>
    <row r="320" spans="1:15" ht="14.25" customHeight="1" x14ac:dyDescent="0.25">
      <c r="A320" s="51">
        <v>44801</v>
      </c>
      <c r="B320" s="31"/>
      <c r="C320" s="37" t="s">
        <v>567</v>
      </c>
      <c r="D320" s="59">
        <v>673</v>
      </c>
      <c r="E320" s="46" t="s">
        <v>650</v>
      </c>
      <c r="F320" s="59">
        <v>673</v>
      </c>
      <c r="G320" s="37" t="s">
        <v>567</v>
      </c>
      <c r="H320" s="36">
        <v>3106158548</v>
      </c>
      <c r="I320" s="36">
        <v>4158</v>
      </c>
      <c r="J320" s="60"/>
      <c r="K320" s="31"/>
      <c r="L320" s="19" t="str">
        <f ca="1">IFERROR(__xludf.DUMMYFUNCTION("""COMPUTED_VALUE"""),"PDA Gualmatan")</f>
        <v>PDA Gualmatan</v>
      </c>
      <c r="M320" s="19" t="str">
        <f ca="1">IFERROR(__xludf.DUMMYFUNCTION("QUERY(C320:E697,""SELECT * WHERE ( E like  '%""&amp;L320&amp;""%') limit 1"")"),"Nariño")</f>
        <v>Nariño</v>
      </c>
      <c r="N320" s="19">
        <f ca="1">IFERROR(__xludf.DUMMYFUNCTION("""COMPUTED_VALUE"""),673)</f>
        <v>673</v>
      </c>
      <c r="O320" s="19" t="str">
        <f ca="1">IFERROR(__xludf.DUMMYFUNCTION("""COMPUTED_VALUE"""),"PDA Gualmatan")</f>
        <v>PDA Gualmatan</v>
      </c>
    </row>
    <row r="321" spans="1:15" ht="14.25" customHeight="1" x14ac:dyDescent="0.25">
      <c r="A321" s="51">
        <v>44807</v>
      </c>
      <c r="B321" s="31"/>
      <c r="C321" s="37" t="s">
        <v>567</v>
      </c>
      <c r="D321" s="59">
        <v>672</v>
      </c>
      <c r="E321" s="46" t="s">
        <v>244</v>
      </c>
      <c r="F321" s="59">
        <v>672</v>
      </c>
      <c r="G321" s="37" t="s">
        <v>567</v>
      </c>
      <c r="H321" s="36">
        <v>3185171667</v>
      </c>
      <c r="I321" s="36">
        <v>4092</v>
      </c>
      <c r="J321" s="60"/>
      <c r="K321" s="31"/>
      <c r="L321" s="19" t="str">
        <f ca="1">IFERROR(__xludf.DUMMYFUNCTION("""COMPUTED_VALUE"""),"Pda Puerres")</f>
        <v>Pda Puerres</v>
      </c>
      <c r="M321" s="19" t="str">
        <f ca="1">IFERROR(__xludf.DUMMYFUNCTION("QUERY(C321:E698,""SELECT * WHERE ( E like  '%""&amp;L321&amp;""%') limit 1"")"),"Nariño")</f>
        <v>Nariño</v>
      </c>
      <c r="N321" s="19">
        <f ca="1">IFERROR(__xludf.DUMMYFUNCTION("""COMPUTED_VALUE"""),672)</f>
        <v>672</v>
      </c>
      <c r="O321" s="19" t="str">
        <f ca="1">IFERROR(__xludf.DUMMYFUNCTION("""COMPUTED_VALUE"""),"Pda Puerres")</f>
        <v>Pda Puerres</v>
      </c>
    </row>
    <row r="322" spans="1:15" ht="14.25" customHeight="1" x14ac:dyDescent="0.25">
      <c r="A322" s="51">
        <v>44808</v>
      </c>
      <c r="B322" s="31"/>
      <c r="C322" s="37" t="s">
        <v>567</v>
      </c>
      <c r="D322" s="59">
        <v>372</v>
      </c>
      <c r="E322" s="46" t="s">
        <v>166</v>
      </c>
      <c r="F322" s="59">
        <v>372</v>
      </c>
      <c r="G322" s="37" t="s">
        <v>567</v>
      </c>
      <c r="H322" s="36">
        <v>3187345587</v>
      </c>
      <c r="I322" s="36">
        <v>4105</v>
      </c>
      <c r="J322" s="60"/>
      <c r="K322" s="31"/>
      <c r="L322" s="19" t="str">
        <f ca="1">IFERROR(__xludf.DUMMYFUNCTION("""COMPUTED_VALUE"""),"Pda San Pablo")</f>
        <v>Pda San Pablo</v>
      </c>
      <c r="M322" s="19" t="str">
        <f ca="1">IFERROR(__xludf.DUMMYFUNCTION("QUERY(C322:E699,""SELECT * WHERE ( E like  '%""&amp;L322&amp;""%') limit 1"")"),"Nariño")</f>
        <v>Nariño</v>
      </c>
      <c r="N322" s="19">
        <f ca="1">IFERROR(__xludf.DUMMYFUNCTION("""COMPUTED_VALUE"""),372)</f>
        <v>372</v>
      </c>
      <c r="O322" s="19" t="str">
        <f ca="1">IFERROR(__xludf.DUMMYFUNCTION("""COMPUTED_VALUE"""),"Pda San Pablo")</f>
        <v>Pda San Pablo</v>
      </c>
    </row>
    <row r="323" spans="1:15" ht="14.25" customHeight="1" x14ac:dyDescent="0.25">
      <c r="A323" s="51">
        <v>44814</v>
      </c>
      <c r="B323" s="31"/>
      <c r="C323" s="37" t="s">
        <v>567</v>
      </c>
      <c r="D323" s="59">
        <v>681</v>
      </c>
      <c r="E323" s="46" t="s">
        <v>226</v>
      </c>
      <c r="F323" s="59">
        <v>681</v>
      </c>
      <c r="G323" s="37" t="s">
        <v>567</v>
      </c>
      <c r="H323" s="36">
        <v>3182852885</v>
      </c>
      <c r="I323" s="36">
        <v>4107</v>
      </c>
      <c r="J323" s="60"/>
      <c r="K323" s="31"/>
      <c r="L323" s="19" t="str">
        <f ca="1">IFERROR(__xludf.DUMMYFUNCTION("""COMPUTED_VALUE"""),"Pda Sandona")</f>
        <v>Pda Sandona</v>
      </c>
      <c r="M323" s="19" t="str">
        <f ca="1">IFERROR(__xludf.DUMMYFUNCTION("QUERY(C323:E700,""SELECT * WHERE ( E like  '%""&amp;L323&amp;""%') limit 1"")"),"Nariño")</f>
        <v>Nariño</v>
      </c>
      <c r="N323" s="19">
        <f ca="1">IFERROR(__xludf.DUMMYFUNCTION("""COMPUTED_VALUE"""),681)</f>
        <v>681</v>
      </c>
      <c r="O323" s="19" t="str">
        <f ca="1">IFERROR(__xludf.DUMMYFUNCTION("""COMPUTED_VALUE"""),"Pda Sandona")</f>
        <v>Pda Sandona</v>
      </c>
    </row>
    <row r="324" spans="1:15" ht="14.25" customHeight="1" x14ac:dyDescent="0.25">
      <c r="A324" s="51">
        <v>44815</v>
      </c>
      <c r="B324" s="31"/>
      <c r="C324" s="37" t="s">
        <v>567</v>
      </c>
      <c r="D324" s="59">
        <v>651</v>
      </c>
      <c r="E324" s="46" t="s">
        <v>199</v>
      </c>
      <c r="F324" s="59">
        <v>651</v>
      </c>
      <c r="G324" s="37" t="s">
        <v>567</v>
      </c>
      <c r="H324" s="36">
        <v>3183121273</v>
      </c>
      <c r="I324" s="36">
        <v>4115</v>
      </c>
      <c r="J324" s="60"/>
      <c r="K324" s="31"/>
      <c r="L324" s="19" t="str">
        <f ca="1">IFERROR(__xludf.DUMMYFUNCTION("""COMPUTED_VALUE"""),"Pda Sibundoy")</f>
        <v>Pda Sibundoy</v>
      </c>
      <c r="M324" s="19" t="str">
        <f ca="1">IFERROR(__xludf.DUMMYFUNCTION("QUERY(C324:E701,""SELECT * WHERE ( E like  '%""&amp;L324&amp;""%') limit 1"")"),"Nariño")</f>
        <v>Nariño</v>
      </c>
      <c r="N324" s="19">
        <f ca="1">IFERROR(__xludf.DUMMYFUNCTION("""COMPUTED_VALUE"""),651)</f>
        <v>651</v>
      </c>
      <c r="O324" s="19" t="str">
        <f ca="1">IFERROR(__xludf.DUMMYFUNCTION("""COMPUTED_VALUE"""),"Pda Sibundoy")</f>
        <v>Pda Sibundoy</v>
      </c>
    </row>
    <row r="325" spans="1:15" ht="14.25" customHeight="1" x14ac:dyDescent="0.25">
      <c r="A325" s="51">
        <v>44821</v>
      </c>
      <c r="B325" s="31"/>
      <c r="C325" s="37" t="s">
        <v>567</v>
      </c>
      <c r="D325" s="59">
        <v>661</v>
      </c>
      <c r="E325" s="46" t="s">
        <v>233</v>
      </c>
      <c r="F325" s="59">
        <v>661</v>
      </c>
      <c r="G325" s="37" t="s">
        <v>567</v>
      </c>
      <c r="H325" s="36">
        <v>3207160269</v>
      </c>
      <c r="I325" s="36">
        <v>2406</v>
      </c>
      <c r="J325" s="60"/>
      <c r="K325" s="31"/>
      <c r="L325" s="19" t="str">
        <f ca="1">IFERROR(__xludf.DUMMYFUNCTION("""COMPUTED_VALUE"""),"Tuquerres")</f>
        <v>Tuquerres</v>
      </c>
      <c r="M325" s="19" t="str">
        <f ca="1">IFERROR(__xludf.DUMMYFUNCTION("QUERY(C325:E702,""SELECT * WHERE ( E like  '%""&amp;L325&amp;""%') limit 1"")"),"Nariño")</f>
        <v>Nariño</v>
      </c>
      <c r="N325" s="19">
        <f ca="1">IFERROR(__xludf.DUMMYFUNCTION("""COMPUTED_VALUE"""),661)</f>
        <v>661</v>
      </c>
      <c r="O325" s="19" t="str">
        <f ca="1">IFERROR(__xludf.DUMMYFUNCTION("""COMPUTED_VALUE"""),"Tuquerres")</f>
        <v>Tuquerres</v>
      </c>
    </row>
    <row r="326" spans="1:15" ht="14.25" customHeight="1" x14ac:dyDescent="0.25">
      <c r="A326" s="51">
        <v>44822</v>
      </c>
      <c r="B326" s="31"/>
      <c r="C326" s="37" t="s">
        <v>602</v>
      </c>
      <c r="D326" s="59">
        <v>170</v>
      </c>
      <c r="E326" s="46" t="s">
        <v>552</v>
      </c>
      <c r="F326" s="59">
        <v>170</v>
      </c>
      <c r="G326" s="37" t="s">
        <v>602</v>
      </c>
      <c r="H326" s="36">
        <v>3103711192</v>
      </c>
      <c r="I326" s="36">
        <v>2310</v>
      </c>
      <c r="J326" s="60"/>
      <c r="K326" s="31"/>
      <c r="L326" s="19" t="str">
        <f ca="1">IFERROR(__xludf.DUMMYFUNCTION("""COMPUTED_VALUE"""),"Aguachica")</f>
        <v>Aguachica</v>
      </c>
      <c r="M326" s="19" t="str">
        <f ca="1">IFERROR(__xludf.DUMMYFUNCTION("QUERY(C326:E703,""SELECT * WHERE ( E like  '%""&amp;L326&amp;""%') limit 1"")"),"Nororiente")</f>
        <v>Nororiente</v>
      </c>
      <c r="N326" s="19">
        <f ca="1">IFERROR(__xludf.DUMMYFUNCTION("""COMPUTED_VALUE"""),170)</f>
        <v>170</v>
      </c>
      <c r="O326" s="19" t="str">
        <f ca="1">IFERROR(__xludf.DUMMYFUNCTION("""COMPUTED_VALUE"""),"Aguachica")</f>
        <v>Aguachica</v>
      </c>
    </row>
    <row r="327" spans="1:15" ht="14.25" customHeight="1" x14ac:dyDescent="0.25">
      <c r="A327" s="51">
        <v>44828</v>
      </c>
      <c r="B327" s="31"/>
      <c r="C327" s="37" t="s">
        <v>602</v>
      </c>
      <c r="D327" s="59">
        <v>755</v>
      </c>
      <c r="E327" s="46" t="s">
        <v>565</v>
      </c>
      <c r="F327" s="59">
        <v>755</v>
      </c>
      <c r="G327" s="37" t="s">
        <v>602</v>
      </c>
      <c r="H327" s="36">
        <v>3234819719</v>
      </c>
      <c r="I327" s="36">
        <v>2122</v>
      </c>
      <c r="J327" s="60"/>
      <c r="K327" s="31"/>
      <c r="L327" s="19" t="str">
        <f ca="1">IFERROR(__xludf.DUMMYFUNCTION("""COMPUTED_VALUE"""),"Barrancabermeja")</f>
        <v>Barrancabermeja</v>
      </c>
      <c r="M327" s="19" t="str">
        <f ca="1">IFERROR(__xludf.DUMMYFUNCTION("QUERY(C327:E704,""SELECT * WHERE ( E like  '%""&amp;L327&amp;""%') limit 1"")"),"Nororiente")</f>
        <v>Nororiente</v>
      </c>
      <c r="N327" s="19">
        <f ca="1">IFERROR(__xludf.DUMMYFUNCTION("""COMPUTED_VALUE"""),755)</f>
        <v>755</v>
      </c>
      <c r="O327" s="19" t="str">
        <f ca="1">IFERROR(__xludf.DUMMYFUNCTION("""COMPUTED_VALUE"""),"Barrancabermeja")</f>
        <v>Barrancabermeja</v>
      </c>
    </row>
    <row r="328" spans="1:15" ht="14.25" customHeight="1" x14ac:dyDescent="0.25">
      <c r="A328" s="51">
        <v>44829</v>
      </c>
      <c r="B328" s="31"/>
      <c r="C328" s="37" t="s">
        <v>602</v>
      </c>
      <c r="D328" s="59">
        <v>750</v>
      </c>
      <c r="E328" s="46" t="s">
        <v>605</v>
      </c>
      <c r="F328" s="59">
        <v>750</v>
      </c>
      <c r="G328" s="37" t="s">
        <v>602</v>
      </c>
      <c r="H328" s="36">
        <v>3186664551</v>
      </c>
      <c r="I328" s="36">
        <v>2166</v>
      </c>
      <c r="J328" s="60"/>
      <c r="K328" s="31"/>
      <c r="L328" s="19" t="str">
        <f ca="1">IFERROR(__xludf.DUMMYFUNCTION("""COMPUTED_VALUE"""),"Bucaramanga El Libertador")</f>
        <v>Bucaramanga El Libertador</v>
      </c>
      <c r="M328" s="19" t="str">
        <f ca="1">IFERROR(__xludf.DUMMYFUNCTION("QUERY(C328:E705,""SELECT * WHERE ( E like  '%""&amp;L328&amp;""%') limit 1"")"),"Nororiente")</f>
        <v>Nororiente</v>
      </c>
      <c r="N328" s="19">
        <f ca="1">IFERROR(__xludf.DUMMYFUNCTION("""COMPUTED_VALUE"""),750)</f>
        <v>750</v>
      </c>
      <c r="O328" s="19" t="str">
        <f ca="1">IFERROR(__xludf.DUMMYFUNCTION("""COMPUTED_VALUE"""),"Bucaramanga El Libertador")</f>
        <v>Bucaramanga El Libertador</v>
      </c>
    </row>
    <row r="329" spans="1:15" ht="14.25" customHeight="1" x14ac:dyDescent="0.25">
      <c r="A329" s="51">
        <v>44835</v>
      </c>
      <c r="B329" s="31"/>
      <c r="C329" s="37" t="s">
        <v>602</v>
      </c>
      <c r="D329" s="59">
        <v>760</v>
      </c>
      <c r="E329" s="46" t="s">
        <v>562</v>
      </c>
      <c r="F329" s="59">
        <v>760</v>
      </c>
      <c r="G329" s="37" t="s">
        <v>602</v>
      </c>
      <c r="H329" s="36">
        <v>3113540287</v>
      </c>
      <c r="I329" s="36">
        <v>2130</v>
      </c>
      <c r="J329" s="60"/>
      <c r="K329" s="31"/>
      <c r="L329" s="19" t="str">
        <f ca="1">IFERROR(__xludf.DUMMYFUNCTION("""COMPUTED_VALUE"""),"Floridablanca")</f>
        <v>Floridablanca</v>
      </c>
      <c r="M329" s="19" t="str">
        <f ca="1">IFERROR(__xludf.DUMMYFUNCTION("QUERY(C329:E706,""SELECT * WHERE ( E like  '%""&amp;L329&amp;""%') limit 1"")"),"Nororiente")</f>
        <v>Nororiente</v>
      </c>
      <c r="N329" s="19">
        <f ca="1">IFERROR(__xludf.DUMMYFUNCTION("""COMPUTED_VALUE"""),760)</f>
        <v>760</v>
      </c>
      <c r="O329" s="19" t="str">
        <f ca="1">IFERROR(__xludf.DUMMYFUNCTION("""COMPUTED_VALUE"""),"Floridablanca")</f>
        <v>Floridablanca</v>
      </c>
    </row>
    <row r="330" spans="1:15" ht="14.25" customHeight="1" x14ac:dyDescent="0.25">
      <c r="A330" s="51">
        <v>44836</v>
      </c>
      <c r="B330" s="31"/>
      <c r="C330" s="37" t="s">
        <v>602</v>
      </c>
      <c r="D330" s="59">
        <v>758</v>
      </c>
      <c r="E330" s="46" t="s">
        <v>560</v>
      </c>
      <c r="F330" s="59">
        <v>758</v>
      </c>
      <c r="G330" s="37" t="s">
        <v>602</v>
      </c>
      <c r="H330" s="36">
        <v>3234819727</v>
      </c>
      <c r="I330" s="36">
        <v>2126</v>
      </c>
      <c r="J330" s="60"/>
      <c r="K330" s="31"/>
      <c r="L330" s="19" t="str">
        <f ca="1">IFERROR(__xludf.DUMMYFUNCTION("""COMPUTED_VALUE"""),"Girón")</f>
        <v>Girón</v>
      </c>
      <c r="M330" s="19" t="str">
        <f ca="1">IFERROR(__xludf.DUMMYFUNCTION("QUERY(C330:E707,""SELECT * WHERE ( E like  '%""&amp;L330&amp;""%') limit 1"")"),"Nororiente")</f>
        <v>Nororiente</v>
      </c>
      <c r="N330" s="19">
        <f ca="1">IFERROR(__xludf.DUMMYFUNCTION("""COMPUTED_VALUE"""),758)</f>
        <v>758</v>
      </c>
      <c r="O330" s="19" t="str">
        <f ca="1">IFERROR(__xludf.DUMMYFUNCTION("""COMPUTED_VALUE"""),"Girón")</f>
        <v>Girón</v>
      </c>
    </row>
    <row r="331" spans="1:15" ht="14.25" customHeight="1" x14ac:dyDescent="0.25">
      <c r="A331" s="51">
        <v>44842</v>
      </c>
      <c r="B331" s="31"/>
      <c r="C331" s="37" t="s">
        <v>602</v>
      </c>
      <c r="D331" s="59">
        <v>745</v>
      </c>
      <c r="E331" s="46" t="s">
        <v>608</v>
      </c>
      <c r="F331" s="59">
        <v>745</v>
      </c>
      <c r="G331" s="37" t="s">
        <v>602</v>
      </c>
      <c r="H331" s="36">
        <v>3234819731</v>
      </c>
      <c r="I331" s="36">
        <v>2138</v>
      </c>
      <c r="J331" s="60"/>
      <c r="K331" s="31"/>
      <c r="L331" s="19" t="str">
        <f ca="1">IFERROR(__xludf.DUMMYFUNCTION("""COMPUTED_VALUE"""),"Piedecuesta")</f>
        <v>Piedecuesta</v>
      </c>
      <c r="M331" s="19" t="str">
        <f ca="1">IFERROR(__xludf.DUMMYFUNCTION("QUERY(C331:E708,""SELECT * WHERE ( E like  '%""&amp;L331&amp;""%') limit 1"")"),"Nororiente")</f>
        <v>Nororiente</v>
      </c>
      <c r="N331" s="19">
        <f ca="1">IFERROR(__xludf.DUMMYFUNCTION("""COMPUTED_VALUE"""),745)</f>
        <v>745</v>
      </c>
      <c r="O331" s="19" t="str">
        <f ca="1">IFERROR(__xludf.DUMMYFUNCTION("""COMPUTED_VALUE"""),"Piedecuesta")</f>
        <v>Piedecuesta</v>
      </c>
    </row>
    <row r="332" spans="1:15" ht="14.25" customHeight="1" x14ac:dyDescent="0.25">
      <c r="A332" s="51">
        <v>44843</v>
      </c>
      <c r="B332" s="31"/>
      <c r="C332" s="37" t="s">
        <v>602</v>
      </c>
      <c r="D332" s="59">
        <v>765</v>
      </c>
      <c r="E332" s="46" t="s">
        <v>568</v>
      </c>
      <c r="F332" s="59">
        <v>765</v>
      </c>
      <c r="G332" s="37" t="s">
        <v>602</v>
      </c>
      <c r="H332" s="36">
        <v>3106341980</v>
      </c>
      <c r="I332" s="36">
        <v>2398</v>
      </c>
      <c r="J332" s="60"/>
      <c r="K332" s="31"/>
      <c r="L332" s="19" t="str">
        <f ca="1">IFERROR(__xludf.DUMMYFUNCTION("""COMPUTED_VALUE"""),"San Gil")</f>
        <v>San Gil</v>
      </c>
      <c r="M332" s="19" t="str">
        <f ca="1">IFERROR(__xludf.DUMMYFUNCTION("QUERY(C332:E709,""SELECT * WHERE ( E like  '%""&amp;L332&amp;""%') limit 1"")"),"Nororiente")</f>
        <v>Nororiente</v>
      </c>
      <c r="N332" s="19">
        <f ca="1">IFERROR(__xludf.DUMMYFUNCTION("""COMPUTED_VALUE"""),765)</f>
        <v>765</v>
      </c>
      <c r="O332" s="19" t="str">
        <f ca="1">IFERROR(__xludf.DUMMYFUNCTION("""COMPUTED_VALUE"""),"San Gil")</f>
        <v>San Gil</v>
      </c>
    </row>
    <row r="333" spans="1:15" ht="14.25" customHeight="1" x14ac:dyDescent="0.25">
      <c r="A333" s="51">
        <v>44849</v>
      </c>
      <c r="B333" s="31"/>
      <c r="C333" s="37" t="s">
        <v>613</v>
      </c>
      <c r="D333" s="59">
        <v>811</v>
      </c>
      <c r="E333" s="46" t="s">
        <v>99</v>
      </c>
      <c r="F333" s="59">
        <v>811</v>
      </c>
      <c r="G333" s="37" t="s">
        <v>613</v>
      </c>
      <c r="H333" s="36">
        <v>3166922722</v>
      </c>
      <c r="I333" s="36">
        <v>2334</v>
      </c>
      <c r="J333" s="60"/>
      <c r="K333" s="31"/>
      <c r="L333" s="19" t="str">
        <f ca="1">IFERROR(__xludf.DUMMYFUNCTION("""COMPUTED_VALUE"""),"Espinal")</f>
        <v>Espinal</v>
      </c>
      <c r="M333" s="19" t="str">
        <f ca="1">IFERROR(__xludf.DUMMYFUNCTION("QUERY(C333:E710,""SELECT * WHERE ( E like  '%""&amp;L333&amp;""%') limit 1"")"),"Tolima")</f>
        <v>Tolima</v>
      </c>
      <c r="N333" s="19">
        <f ca="1">IFERROR(__xludf.DUMMYFUNCTION("""COMPUTED_VALUE"""),811)</f>
        <v>811</v>
      </c>
      <c r="O333" s="19" t="str">
        <f ca="1">IFERROR(__xludf.DUMMYFUNCTION("""COMPUTED_VALUE"""),"Espinal")</f>
        <v>Espinal</v>
      </c>
    </row>
    <row r="334" spans="1:15" ht="14.25" customHeight="1" x14ac:dyDescent="0.25">
      <c r="A334" s="51">
        <v>44850</v>
      </c>
      <c r="B334" s="31"/>
      <c r="C334" s="37" t="s">
        <v>613</v>
      </c>
      <c r="D334" s="59">
        <v>223</v>
      </c>
      <c r="E334" s="46" t="s">
        <v>486</v>
      </c>
      <c r="F334" s="59">
        <v>223</v>
      </c>
      <c r="G334" s="37" t="s">
        <v>613</v>
      </c>
      <c r="H334" s="36">
        <v>3176593782</v>
      </c>
      <c r="I334" s="36">
        <v>2290</v>
      </c>
      <c r="J334" s="60"/>
      <c r="K334" s="31"/>
      <c r="L334" s="19" t="str">
        <f ca="1">IFERROR(__xludf.DUMMYFUNCTION("""COMPUTED_VALUE"""),"Fusagasuga")</f>
        <v>Fusagasuga</v>
      </c>
      <c r="M334" s="19" t="str">
        <f ca="1">IFERROR(__xludf.DUMMYFUNCTION("QUERY(C334:E711,""SELECT * WHERE ( E like  '%""&amp;L334&amp;""%') limit 1"")"),"Tolima")</f>
        <v>Tolima</v>
      </c>
      <c r="N334" s="19">
        <f ca="1">IFERROR(__xludf.DUMMYFUNCTION("""COMPUTED_VALUE"""),223)</f>
        <v>223</v>
      </c>
      <c r="O334" s="19" t="str">
        <f ca="1">IFERROR(__xludf.DUMMYFUNCTION("""COMPUTED_VALUE"""),"Fusagasuga")</f>
        <v>Fusagasuga</v>
      </c>
    </row>
    <row r="335" spans="1:15" ht="14.25" customHeight="1" x14ac:dyDescent="0.25">
      <c r="A335" s="51">
        <v>44851</v>
      </c>
      <c r="B335" s="31"/>
      <c r="C335" s="37" t="s">
        <v>613</v>
      </c>
      <c r="D335" s="59">
        <v>812</v>
      </c>
      <c r="E335" s="46" t="s">
        <v>480</v>
      </c>
      <c r="F335" s="59">
        <v>812</v>
      </c>
      <c r="G335" s="37" t="s">
        <v>613</v>
      </c>
      <c r="H335" s="36">
        <v>3168349465</v>
      </c>
      <c r="I335" s="36">
        <v>2298</v>
      </c>
      <c r="J335" s="60"/>
      <c r="K335" s="31"/>
      <c r="L335" s="19" t="str">
        <f ca="1">IFERROR(__xludf.DUMMYFUNCTION("""COMPUTED_VALUE"""),"Girardot")</f>
        <v>Girardot</v>
      </c>
      <c r="M335" s="19" t="str">
        <f ca="1">IFERROR(__xludf.DUMMYFUNCTION("QUERY(C335:E712,""SELECT * WHERE ( E like  '%""&amp;L335&amp;""%') limit 1"")"),"Tolima")</f>
        <v>Tolima</v>
      </c>
      <c r="N335" s="19">
        <f ca="1">IFERROR(__xludf.DUMMYFUNCTION("""COMPUTED_VALUE"""),812)</f>
        <v>812</v>
      </c>
      <c r="O335" s="19" t="str">
        <f ca="1">IFERROR(__xludf.DUMMYFUNCTION("""COMPUTED_VALUE"""),"Girardot")</f>
        <v>Girardot</v>
      </c>
    </row>
    <row r="336" spans="1:15" ht="14.25" customHeight="1" x14ac:dyDescent="0.25">
      <c r="A336" s="51">
        <v>44856</v>
      </c>
      <c r="B336" s="31"/>
      <c r="C336" s="37" t="s">
        <v>613</v>
      </c>
      <c r="D336" s="59">
        <v>790</v>
      </c>
      <c r="E336" s="46" t="s">
        <v>59</v>
      </c>
      <c r="F336" s="59">
        <v>790</v>
      </c>
      <c r="G336" s="37" t="s">
        <v>613</v>
      </c>
      <c r="H336" s="36">
        <v>3185171623</v>
      </c>
      <c r="I336" s="36">
        <v>2018</v>
      </c>
      <c r="J336" s="60"/>
      <c r="K336" s="31"/>
      <c r="L336" s="19" t="str">
        <f ca="1">IFERROR(__xludf.DUMMYFUNCTION("""COMPUTED_VALUE"""),"Ibague Centro")</f>
        <v>Ibague Centro</v>
      </c>
      <c r="M336" s="19" t="str">
        <f ca="1">IFERROR(__xludf.DUMMYFUNCTION("QUERY(C336:E713,""SELECT * WHERE ( E like  '%""&amp;L336&amp;""%') limit 1"")"),"Tolima")</f>
        <v>Tolima</v>
      </c>
      <c r="N336" s="19">
        <f ca="1">IFERROR(__xludf.DUMMYFUNCTION("""COMPUTED_VALUE"""),790)</f>
        <v>790</v>
      </c>
      <c r="O336" s="19" t="str">
        <f ca="1">IFERROR(__xludf.DUMMYFUNCTION("""COMPUTED_VALUE"""),"Ibague Centro")</f>
        <v>Ibague Centro</v>
      </c>
    </row>
    <row r="337" spans="1:15" ht="14.25" customHeight="1" x14ac:dyDescent="0.25">
      <c r="A337" s="51">
        <v>44857</v>
      </c>
      <c r="B337" s="31"/>
      <c r="C337" s="37" t="s">
        <v>613</v>
      </c>
      <c r="D337" s="59">
        <v>800</v>
      </c>
      <c r="E337" s="46" t="s">
        <v>445</v>
      </c>
      <c r="F337" s="59">
        <v>800</v>
      </c>
      <c r="G337" s="37" t="s">
        <v>613</v>
      </c>
      <c r="H337" s="36">
        <v>3185171588</v>
      </c>
      <c r="I337" s="36">
        <v>2022</v>
      </c>
      <c r="J337" s="60"/>
      <c r="K337" s="31"/>
      <c r="L337" s="19" t="str">
        <f ca="1">IFERROR(__xludf.DUMMYFUNCTION("""COMPUTED_VALUE"""),"Ibague Jordan")</f>
        <v>Ibague Jordan</v>
      </c>
      <c r="M337" s="19" t="str">
        <f ca="1">IFERROR(__xludf.DUMMYFUNCTION("QUERY(C337:E714,""SELECT * WHERE ( E like  '%""&amp;L337&amp;""%') limit 1"")"),"Tolima")</f>
        <v>Tolima</v>
      </c>
      <c r="N337" s="19">
        <f ca="1">IFERROR(__xludf.DUMMYFUNCTION("""COMPUTED_VALUE"""),800)</f>
        <v>800</v>
      </c>
      <c r="O337" s="19" t="str">
        <f ca="1">IFERROR(__xludf.DUMMYFUNCTION("""COMPUTED_VALUE"""),"Ibague Jordan")</f>
        <v>Ibague Jordan</v>
      </c>
    </row>
    <row r="338" spans="1:15" ht="14.25" customHeight="1" x14ac:dyDescent="0.25">
      <c r="A338" s="51">
        <v>44863</v>
      </c>
      <c r="B338" s="31"/>
      <c r="C338" s="37" t="s">
        <v>613</v>
      </c>
      <c r="D338" s="59">
        <v>810</v>
      </c>
      <c r="E338" s="46" t="s">
        <v>453</v>
      </c>
      <c r="F338" s="59">
        <v>810</v>
      </c>
      <c r="G338" s="37" t="s">
        <v>613</v>
      </c>
      <c r="H338" s="36">
        <v>3185171632</v>
      </c>
      <c r="I338" s="36">
        <v>2026</v>
      </c>
      <c r="J338" s="60"/>
      <c r="K338" s="31"/>
      <c r="L338" s="19" t="str">
        <f ca="1">IFERROR(__xludf.DUMMYFUNCTION("""COMPUTED_VALUE"""),"Ibague La Quinta")</f>
        <v>Ibague La Quinta</v>
      </c>
      <c r="M338" s="19" t="str">
        <f ca="1">IFERROR(__xludf.DUMMYFUNCTION("QUERY(C338:E715,""SELECT * WHERE ( E like  '%""&amp;L338&amp;""%') limit 1"")"),"Tolima")</f>
        <v>Tolima</v>
      </c>
      <c r="N338" s="19">
        <f ca="1">IFERROR(__xludf.DUMMYFUNCTION("""COMPUTED_VALUE"""),810)</f>
        <v>810</v>
      </c>
      <c r="O338" s="19" t="str">
        <f ca="1">IFERROR(__xludf.DUMMYFUNCTION("""COMPUTED_VALUE"""),"Ibague La Quinta")</f>
        <v>Ibague La Quinta</v>
      </c>
    </row>
    <row r="339" spans="1:15" ht="14.25" customHeight="1" x14ac:dyDescent="0.25">
      <c r="A339" s="51">
        <v>44864</v>
      </c>
      <c r="B339" s="31"/>
      <c r="C339" s="37" t="s">
        <v>613</v>
      </c>
      <c r="D339" s="59">
        <v>792</v>
      </c>
      <c r="E339" s="46" t="s">
        <v>462</v>
      </c>
      <c r="F339" s="59">
        <v>792</v>
      </c>
      <c r="G339" s="37" t="s">
        <v>613</v>
      </c>
      <c r="H339" s="36">
        <v>3183822053</v>
      </c>
      <c r="I339" s="36">
        <v>2354</v>
      </c>
      <c r="J339" s="60"/>
      <c r="K339" s="31"/>
      <c r="L339" s="19" t="str">
        <f ca="1">IFERROR(__xludf.DUMMYFUNCTION("""COMPUTED_VALUE"""),"La Dorada")</f>
        <v>La Dorada</v>
      </c>
      <c r="M339" s="19" t="str">
        <f ca="1">IFERROR(__xludf.DUMMYFUNCTION("QUERY(C339:E716,""SELECT * WHERE ( E like  '%""&amp;L339&amp;""%') limit 1"")"),"Tolima")</f>
        <v>Tolima</v>
      </c>
      <c r="N339" s="19">
        <f ca="1">IFERROR(__xludf.DUMMYFUNCTION("""COMPUTED_VALUE"""),792)</f>
        <v>792</v>
      </c>
      <c r="O339" s="19" t="str">
        <f ca="1">IFERROR(__xludf.DUMMYFUNCTION("""COMPUTED_VALUE"""),"La Dorada")</f>
        <v>La Dorada</v>
      </c>
    </row>
    <row r="340" spans="1:15" ht="14.25" customHeight="1" x14ac:dyDescent="0.25">
      <c r="A340" s="51">
        <v>44870</v>
      </c>
      <c r="B340" s="31"/>
      <c r="C340" s="37" t="s">
        <v>613</v>
      </c>
      <c r="D340" s="59">
        <v>250</v>
      </c>
      <c r="E340" s="46" t="s">
        <v>489</v>
      </c>
      <c r="F340" s="59">
        <v>250</v>
      </c>
      <c r="G340" s="37" t="s">
        <v>613</v>
      </c>
      <c r="H340" s="36">
        <v>3106114764</v>
      </c>
      <c r="I340" s="36">
        <v>2358</v>
      </c>
      <c r="J340" s="60"/>
      <c r="K340" s="31"/>
      <c r="L340" s="19" t="str">
        <f ca="1">IFERROR(__xludf.DUMMYFUNCTION("""COMPUTED_VALUE"""),"La Mesa")</f>
        <v>La Mesa</v>
      </c>
      <c r="M340" s="19" t="str">
        <f ca="1">IFERROR(__xludf.DUMMYFUNCTION("QUERY(C340:E717,""SELECT * WHERE ( E like  '%""&amp;L340&amp;""%') limit 1"")"),"Tolima")</f>
        <v>Tolima</v>
      </c>
      <c r="N340" s="19">
        <f ca="1">IFERROR(__xludf.DUMMYFUNCTION("""COMPUTED_VALUE"""),250)</f>
        <v>250</v>
      </c>
      <c r="O340" s="19" t="str">
        <f ca="1">IFERROR(__xludf.DUMMYFUNCTION("""COMPUTED_VALUE"""),"La Mesa")</f>
        <v>La Mesa</v>
      </c>
    </row>
    <row r="341" spans="1:15" ht="14.25" customHeight="1" x14ac:dyDescent="0.25">
      <c r="A341" s="51">
        <v>44871</v>
      </c>
      <c r="B341" s="31"/>
      <c r="C341" s="37" t="s">
        <v>613</v>
      </c>
      <c r="D341" s="59">
        <v>814</v>
      </c>
      <c r="E341" s="46" t="s">
        <v>457</v>
      </c>
      <c r="F341" s="59">
        <v>814</v>
      </c>
      <c r="G341" s="37" t="s">
        <v>613</v>
      </c>
      <c r="H341" s="36">
        <v>3104001414</v>
      </c>
      <c r="I341" s="36">
        <v>4003</v>
      </c>
      <c r="J341" s="60"/>
      <c r="K341" s="31"/>
      <c r="L341" s="19" t="str">
        <f ca="1">IFERROR(__xludf.DUMMYFUNCTION("""COMPUTED_VALUE"""),"Pda Ambala")</f>
        <v>Pda Ambala</v>
      </c>
      <c r="M341" s="19" t="str">
        <f ca="1">IFERROR(__xludf.DUMMYFUNCTION("QUERY(C341:E718,""SELECT * WHERE ( E like  '%""&amp;L341&amp;""%') limit 1"")"),"Tolima")</f>
        <v>Tolima</v>
      </c>
      <c r="N341" s="19">
        <f ca="1">IFERROR(__xludf.DUMMYFUNCTION("""COMPUTED_VALUE"""),814)</f>
        <v>814</v>
      </c>
      <c r="O341" s="19" t="str">
        <f ca="1">IFERROR(__xludf.DUMMYFUNCTION("""COMPUTED_VALUE"""),"Pda Ambala")</f>
        <v>Pda Ambala</v>
      </c>
    </row>
    <row r="342" spans="1:15" ht="14.25" customHeight="1" x14ac:dyDescent="0.25">
      <c r="A342" s="51">
        <v>44872</v>
      </c>
      <c r="B342" s="31"/>
      <c r="C342" s="37" t="s">
        <v>613</v>
      </c>
      <c r="D342" s="59">
        <v>801</v>
      </c>
      <c r="E342" s="46" t="s">
        <v>473</v>
      </c>
      <c r="F342" s="59">
        <v>801</v>
      </c>
      <c r="G342" s="37" t="s">
        <v>613</v>
      </c>
      <c r="H342" s="36">
        <v>3173670701</v>
      </c>
      <c r="I342" s="36">
        <v>4047</v>
      </c>
      <c r="J342" s="60"/>
      <c r="K342" s="31"/>
      <c r="L342" s="19" t="str">
        <f ca="1">IFERROR(__xludf.DUMMYFUNCTION("""COMPUTED_VALUE"""),"Pda Chaparral")</f>
        <v>Pda Chaparral</v>
      </c>
      <c r="M342" s="19" t="str">
        <f ca="1">IFERROR(__xludf.DUMMYFUNCTION("QUERY(C342:E719,""SELECT * WHERE ( E like  '%""&amp;L342&amp;""%') limit 1"")"),"Tolima")</f>
        <v>Tolima</v>
      </c>
      <c r="N342" s="19">
        <f ca="1">IFERROR(__xludf.DUMMYFUNCTION("""COMPUTED_VALUE"""),801)</f>
        <v>801</v>
      </c>
      <c r="O342" s="19" t="str">
        <f ca="1">IFERROR(__xludf.DUMMYFUNCTION("""COMPUTED_VALUE"""),"Pda Chaparral")</f>
        <v>Pda Chaparral</v>
      </c>
    </row>
    <row r="343" spans="1:15" ht="14.25" customHeight="1" x14ac:dyDescent="0.25">
      <c r="A343" s="51">
        <v>44877</v>
      </c>
      <c r="B343" s="31"/>
      <c r="C343" s="37" t="s">
        <v>613</v>
      </c>
      <c r="D343" s="59">
        <v>802</v>
      </c>
      <c r="E343" s="46" t="s">
        <v>449</v>
      </c>
      <c r="F343" s="59">
        <v>802</v>
      </c>
      <c r="G343" s="37" t="s">
        <v>613</v>
      </c>
      <c r="H343" s="36">
        <v>3207949607</v>
      </c>
      <c r="I343" s="36">
        <v>4001</v>
      </c>
      <c r="J343" s="60"/>
      <c r="K343" s="31"/>
      <c r="L343" s="19" t="str">
        <f ca="1">IFERROR(__xludf.DUMMYFUNCTION("""COMPUTED_VALUE"""),"Pda El Salado")</f>
        <v>Pda El Salado</v>
      </c>
      <c r="M343" s="19" t="str">
        <f ca="1">IFERROR(__xludf.DUMMYFUNCTION("QUERY(C343:E720,""SELECT * WHERE ( E like  '%""&amp;L343&amp;""%') limit 1"")"),"Tolima")</f>
        <v>Tolima</v>
      </c>
      <c r="N343" s="19">
        <f ca="1">IFERROR(__xludf.DUMMYFUNCTION("""COMPUTED_VALUE"""),802)</f>
        <v>802</v>
      </c>
      <c r="O343" s="19" t="str">
        <f ca="1">IFERROR(__xludf.DUMMYFUNCTION("""COMPUTED_VALUE"""),"Pda El Salado")</f>
        <v>Pda El Salado</v>
      </c>
    </row>
    <row r="344" spans="1:15" ht="14.25" customHeight="1" x14ac:dyDescent="0.25">
      <c r="A344" s="51">
        <v>44878</v>
      </c>
      <c r="B344" s="31"/>
      <c r="C344" s="37" t="s">
        <v>613</v>
      </c>
      <c r="D344" s="59">
        <v>791</v>
      </c>
      <c r="E344" s="46" t="s">
        <v>629</v>
      </c>
      <c r="F344" s="59">
        <v>791</v>
      </c>
      <c r="G344" s="37" t="s">
        <v>613</v>
      </c>
      <c r="H344" s="36">
        <v>3187115472</v>
      </c>
      <c r="I344" s="36">
        <v>4075</v>
      </c>
      <c r="J344" s="60"/>
      <c r="K344" s="31"/>
      <c r="L344" s="19" t="str">
        <f ca="1">IFERROR(__xludf.DUMMYFUNCTION("""COMPUTED_VALUE"""),"Mariquita")</f>
        <v>Mariquita</v>
      </c>
      <c r="M344" s="19" t="str">
        <f ca="1">IFERROR(__xludf.DUMMYFUNCTION("QUERY(C344:E721,""SELECT * WHERE ( E like  '%""&amp;L344&amp;""%') limit 1"")"),"Tolima")</f>
        <v>Tolima</v>
      </c>
      <c r="N344" s="19">
        <f ca="1">IFERROR(__xludf.DUMMYFUNCTION("""COMPUTED_VALUE"""),791)</f>
        <v>791</v>
      </c>
      <c r="O344" s="19" t="str">
        <f ca="1">IFERROR(__xludf.DUMMYFUNCTION("""COMPUTED_VALUE"""),"Mariquita")</f>
        <v>Mariquita</v>
      </c>
    </row>
    <row r="345" spans="1:15" ht="14.25" customHeight="1" x14ac:dyDescent="0.25">
      <c r="A345" s="51">
        <v>44879</v>
      </c>
      <c r="B345" s="31"/>
      <c r="C345" s="37" t="s">
        <v>613</v>
      </c>
      <c r="D345" s="59">
        <v>813</v>
      </c>
      <c r="E345" s="46" t="s">
        <v>483</v>
      </c>
      <c r="F345" s="59">
        <v>813</v>
      </c>
      <c r="G345" s="37" t="s">
        <v>613</v>
      </c>
      <c r="H345" s="36">
        <v>3148713057</v>
      </c>
      <c r="I345" s="36">
        <v>4077</v>
      </c>
      <c r="J345" s="60"/>
      <c r="K345" s="31"/>
      <c r="L345" s="19" t="str">
        <f ca="1">IFERROR(__xludf.DUMMYFUNCTION("""COMPUTED_VALUE"""),"Pda Melgar")</f>
        <v>Pda Melgar</v>
      </c>
      <c r="M345" s="19" t="str">
        <f ca="1">IFERROR(__xludf.DUMMYFUNCTION("QUERY(C345:E722,""SELECT * WHERE ( E like  '%""&amp;L345&amp;""%') limit 1"")"),"Tolima")</f>
        <v>Tolima</v>
      </c>
      <c r="N345" s="19">
        <f ca="1">IFERROR(__xludf.DUMMYFUNCTION("""COMPUTED_VALUE"""),813)</f>
        <v>813</v>
      </c>
      <c r="O345" s="19" t="str">
        <f ca="1">IFERROR(__xludf.DUMMYFUNCTION("""COMPUTED_VALUE"""),"Pda Melgar")</f>
        <v>Pda Melgar</v>
      </c>
    </row>
    <row r="346" spans="1:15" ht="14.25" customHeight="1" x14ac:dyDescent="0.25">
      <c r="A346" s="51">
        <v>44884</v>
      </c>
      <c r="B346" s="31"/>
      <c r="C346" s="37" t="s">
        <v>613</v>
      </c>
      <c r="D346" s="59">
        <v>795</v>
      </c>
      <c r="E346" s="46" t="s">
        <v>441</v>
      </c>
      <c r="F346" s="59">
        <v>795</v>
      </c>
      <c r="G346" s="37" t="s">
        <v>613</v>
      </c>
      <c r="H346" s="36">
        <v>3215460247</v>
      </c>
      <c r="I346" s="36">
        <v>4006</v>
      </c>
      <c r="J346" s="60"/>
      <c r="K346" s="31"/>
      <c r="L346" s="19" t="str">
        <f ca="1">IFERROR(__xludf.DUMMYFUNCTION("""COMPUTED_VALUE"""),"Pda Ricaurte")</f>
        <v>Pda Ricaurte</v>
      </c>
      <c r="M346" s="19" t="str">
        <f ca="1">IFERROR(__xludf.DUMMYFUNCTION("QUERY(C346:E723,""SELECT * WHERE ( E like  '%""&amp;L346&amp;""%') limit 1"")"),"Tolima")</f>
        <v>Tolima</v>
      </c>
      <c r="N346" s="19">
        <f ca="1">IFERROR(__xludf.DUMMYFUNCTION("""COMPUTED_VALUE"""),795)</f>
        <v>795</v>
      </c>
      <c r="O346" s="19" t="str">
        <f ca="1">IFERROR(__xludf.DUMMYFUNCTION("""COMPUTED_VALUE"""),"Pda Ricaurte")</f>
        <v>Pda Ricaurte</v>
      </c>
    </row>
    <row r="347" spans="1:15" ht="14.25" customHeight="1" x14ac:dyDescent="0.25">
      <c r="A347" s="51">
        <v>44885</v>
      </c>
      <c r="B347" s="31"/>
      <c r="C347" s="37" t="s">
        <v>613</v>
      </c>
      <c r="D347" s="59">
        <v>815</v>
      </c>
      <c r="E347" s="46" t="s">
        <v>477</v>
      </c>
      <c r="F347" s="59">
        <v>815</v>
      </c>
      <c r="G347" s="37" t="s">
        <v>613</v>
      </c>
      <c r="H347" s="36">
        <v>3215459418</v>
      </c>
      <c r="I347" s="36">
        <v>4097</v>
      </c>
      <c r="J347" s="60"/>
      <c r="K347" s="31"/>
      <c r="L347" s="19" t="str">
        <f ca="1">IFERROR(__xludf.DUMMYFUNCTION("""COMPUTED_VALUE"""),"Pda Saldaña")</f>
        <v>Pda Saldaña</v>
      </c>
      <c r="M347" s="19" t="str">
        <f ca="1">IFERROR(__xludf.DUMMYFUNCTION("QUERY(C347:E724,""SELECT * WHERE ( E like  '%""&amp;L347&amp;""%') limit 1"")"),"Tolima")</f>
        <v>Tolima</v>
      </c>
      <c r="N347" s="19">
        <f ca="1">IFERROR(__xludf.DUMMYFUNCTION("""COMPUTED_VALUE"""),815)</f>
        <v>815</v>
      </c>
      <c r="O347" s="19" t="str">
        <f ca="1">IFERROR(__xludf.DUMMYFUNCTION("""COMPUTED_VALUE"""),"Pda Saldaña")</f>
        <v>Pda Saldaña</v>
      </c>
    </row>
    <row r="348" spans="1:15" ht="14.25" customHeight="1" x14ac:dyDescent="0.25">
      <c r="A348" s="51">
        <v>44891</v>
      </c>
      <c r="B348" s="31"/>
      <c r="C348" s="37" t="s">
        <v>636</v>
      </c>
      <c r="D348" s="59">
        <v>861</v>
      </c>
      <c r="E348" s="46" t="s">
        <v>336</v>
      </c>
      <c r="F348" s="59">
        <v>861</v>
      </c>
      <c r="G348" s="37" t="s">
        <v>636</v>
      </c>
      <c r="H348" s="36">
        <v>3185171663</v>
      </c>
      <c r="I348" s="36">
        <v>2006</v>
      </c>
      <c r="J348" s="60"/>
      <c r="K348" s="31"/>
      <c r="L348" s="19" t="str">
        <f ca="1">IFERROR(__xludf.DUMMYFUNCTION("""COMPUTED_VALUE"""),"Buga")</f>
        <v>Buga</v>
      </c>
      <c r="M348" s="19" t="str">
        <f ca="1">IFERROR(__xludf.DUMMYFUNCTION("QUERY(C348:E725,""SELECT * WHERE ( E like  '%""&amp;L348&amp;""%') limit 1"")"),"Valle del cauca")</f>
        <v>Valle del cauca</v>
      </c>
      <c r="N348" s="19">
        <f ca="1">IFERROR(__xludf.DUMMYFUNCTION("""COMPUTED_VALUE"""),861)</f>
        <v>861</v>
      </c>
      <c r="O348" s="19" t="str">
        <f ca="1">IFERROR(__xludf.DUMMYFUNCTION("""COMPUTED_VALUE"""),"Buga")</f>
        <v>Buga</v>
      </c>
    </row>
    <row r="349" spans="1:15" ht="14.25" customHeight="1" x14ac:dyDescent="0.25">
      <c r="A349" s="51">
        <v>44892</v>
      </c>
      <c r="B349" s="31"/>
      <c r="C349" s="37" t="s">
        <v>636</v>
      </c>
      <c r="D349" s="59">
        <v>841</v>
      </c>
      <c r="E349" s="46" t="s">
        <v>304</v>
      </c>
      <c r="F349" s="59">
        <v>841</v>
      </c>
      <c r="G349" s="37" t="s">
        <v>636</v>
      </c>
      <c r="H349" s="36">
        <v>3104008867</v>
      </c>
      <c r="I349" s="36">
        <v>2086</v>
      </c>
      <c r="J349" s="60"/>
      <c r="K349" s="31"/>
      <c r="L349" s="19" t="str">
        <f ca="1">IFERROR(__xludf.DUMMYFUNCTION("""COMPUTED_VALUE"""),"Cali Calima")</f>
        <v>Cali Calima</v>
      </c>
      <c r="M349" s="19" t="str">
        <f ca="1">IFERROR(__xludf.DUMMYFUNCTION("QUERY(C349:E726,""SELECT * WHERE ( E like  '%""&amp;L349&amp;""%') limit 1"")"),"Valle del cauca")</f>
        <v>Valle del cauca</v>
      </c>
      <c r="N349" s="19">
        <f ca="1">IFERROR(__xludf.DUMMYFUNCTION("""COMPUTED_VALUE"""),841)</f>
        <v>841</v>
      </c>
      <c r="O349" s="19" t="str">
        <f ca="1">IFERROR(__xludf.DUMMYFUNCTION("""COMPUTED_VALUE"""),"Cali Calima")</f>
        <v>Cali Calima</v>
      </c>
    </row>
    <row r="350" spans="1:15" ht="14.25" customHeight="1" x14ac:dyDescent="0.25">
      <c r="A350" s="51">
        <v>44898</v>
      </c>
      <c r="B350" s="31"/>
      <c r="C350" s="37" t="s">
        <v>636</v>
      </c>
      <c r="D350" s="59">
        <v>842</v>
      </c>
      <c r="E350" s="46" t="s">
        <v>641</v>
      </c>
      <c r="F350" s="59">
        <v>842</v>
      </c>
      <c r="G350" s="37" t="s">
        <v>636</v>
      </c>
      <c r="H350" s="36">
        <v>3124087492</v>
      </c>
      <c r="I350" s="36">
        <v>2421</v>
      </c>
      <c r="J350" s="60"/>
      <c r="K350" s="31"/>
      <c r="L350" s="19" t="str">
        <f ca="1">IFERROR(__xludf.DUMMYFUNCTION("""COMPUTED_VALUE"""),"Cali Centro")</f>
        <v>Cali Centro</v>
      </c>
      <c r="M350" s="19" t="str">
        <f ca="1">IFERROR(__xludf.DUMMYFUNCTION("QUERY(C350:E727,""SELECT * WHERE ( E like  '%""&amp;L350&amp;""%') limit 1"")"),"Valle del cauca")</f>
        <v>Valle del cauca</v>
      </c>
      <c r="N350" s="19">
        <f ca="1">IFERROR(__xludf.DUMMYFUNCTION("""COMPUTED_VALUE"""),842)</f>
        <v>842</v>
      </c>
      <c r="O350" s="19" t="str">
        <f ca="1">IFERROR(__xludf.DUMMYFUNCTION("""COMPUTED_VALUE"""),"Cali Centro")</f>
        <v>Cali Centro</v>
      </c>
    </row>
    <row r="351" spans="1:15" ht="14.25" customHeight="1" x14ac:dyDescent="0.25">
      <c r="A351" s="51">
        <v>44899</v>
      </c>
      <c r="B351" s="31"/>
      <c r="C351" s="37" t="s">
        <v>636</v>
      </c>
      <c r="D351" s="59">
        <v>830</v>
      </c>
      <c r="E351" s="46" t="s">
        <v>300</v>
      </c>
      <c r="F351" s="59">
        <v>830</v>
      </c>
      <c r="G351" s="37" t="s">
        <v>636</v>
      </c>
      <c r="H351" s="36">
        <v>3173670682</v>
      </c>
      <c r="I351" s="36">
        <v>2090</v>
      </c>
      <c r="J351" s="60"/>
      <c r="K351" s="31"/>
      <c r="L351" s="19" t="str">
        <f ca="1">IFERROR(__xludf.DUMMYFUNCTION("""COMPUTED_VALUE"""),"Cali El Poblado")</f>
        <v>Cali El Poblado</v>
      </c>
      <c r="M351" s="19" t="str">
        <f ca="1">IFERROR(__xludf.DUMMYFUNCTION("QUERY(C351:E728,""SELECT * WHERE ( E like  '%""&amp;L351&amp;""%') limit 1"")"),"Valle del cauca")</f>
        <v>Valle del cauca</v>
      </c>
      <c r="N351" s="19">
        <f ca="1">IFERROR(__xludf.DUMMYFUNCTION("""COMPUTED_VALUE"""),830)</f>
        <v>830</v>
      </c>
      <c r="O351" s="19" t="str">
        <f ca="1">IFERROR(__xludf.DUMMYFUNCTION("""COMPUTED_VALUE"""),"Cali El Poblado")</f>
        <v>Cali El Poblado</v>
      </c>
    </row>
    <row r="352" spans="1:15" ht="14.25" customHeight="1" x14ac:dyDescent="0.25">
      <c r="A352" s="51">
        <v>44903</v>
      </c>
      <c r="B352" s="31"/>
      <c r="C352" s="37" t="s">
        <v>636</v>
      </c>
      <c r="D352" s="59">
        <v>840</v>
      </c>
      <c r="E352" s="46" t="s">
        <v>311</v>
      </c>
      <c r="F352" s="59">
        <v>840</v>
      </c>
      <c r="G352" s="37" t="s">
        <v>636</v>
      </c>
      <c r="H352" s="36">
        <v>3184561532</v>
      </c>
      <c r="I352" s="36">
        <v>2094</v>
      </c>
      <c r="J352" s="60"/>
      <c r="K352" s="31"/>
      <c r="L352" s="19" t="str">
        <f ca="1">IFERROR(__xludf.DUMMYFUNCTION("""COMPUTED_VALUE"""),"Cali La Casona")</f>
        <v>Cali La Casona</v>
      </c>
      <c r="M352" s="19" t="str">
        <f ca="1">IFERROR(__xludf.DUMMYFUNCTION("QUERY(C352:E729,""SELECT * WHERE ( E like  '%""&amp;L352&amp;""%') limit 1"")"),"Valle del cauca")</f>
        <v>Valle del cauca</v>
      </c>
      <c r="N352" s="19">
        <f ca="1">IFERROR(__xludf.DUMMYFUNCTION("""COMPUTED_VALUE"""),840)</f>
        <v>840</v>
      </c>
      <c r="O352" s="19" t="str">
        <f ca="1">IFERROR(__xludf.DUMMYFUNCTION("""COMPUTED_VALUE"""),"Cali La Casona")</f>
        <v>Cali La Casona</v>
      </c>
    </row>
    <row r="353" spans="1:15" ht="14.25" customHeight="1" x14ac:dyDescent="0.25">
      <c r="A353" s="51">
        <v>44905</v>
      </c>
      <c r="B353" s="31"/>
      <c r="C353" s="37" t="s">
        <v>636</v>
      </c>
      <c r="D353" s="59">
        <v>831</v>
      </c>
      <c r="E353" s="46" t="s">
        <v>308</v>
      </c>
      <c r="F353" s="59">
        <v>831</v>
      </c>
      <c r="G353" s="37" t="s">
        <v>636</v>
      </c>
      <c r="H353" s="36">
        <v>3183383272</v>
      </c>
      <c r="I353" s="36">
        <v>2098</v>
      </c>
      <c r="J353" s="60"/>
      <c r="K353" s="31"/>
      <c r="L353" s="19" t="str">
        <f ca="1">IFERROR(__xludf.DUMMYFUNCTION("""COMPUTED_VALUE"""),"Cali La Floresta")</f>
        <v>Cali La Floresta</v>
      </c>
      <c r="M353" s="19" t="str">
        <f ca="1">IFERROR(__xludf.DUMMYFUNCTION("QUERY(C353:E730,""SELECT * WHERE ( E like  '%""&amp;L353&amp;""%') limit 1"")"),"Valle del cauca")</f>
        <v>Valle del cauca</v>
      </c>
      <c r="N353" s="19">
        <f ca="1">IFERROR(__xludf.DUMMYFUNCTION("""COMPUTED_VALUE"""),831)</f>
        <v>831</v>
      </c>
      <c r="O353" s="19" t="str">
        <f ca="1">IFERROR(__xludf.DUMMYFUNCTION("""COMPUTED_VALUE"""),"Cali La Floresta")</f>
        <v>Cali La Floresta</v>
      </c>
    </row>
    <row r="354" spans="1:15" ht="14.25" customHeight="1" x14ac:dyDescent="0.25">
      <c r="A354" s="51">
        <v>44906</v>
      </c>
      <c r="B354" s="31"/>
      <c r="C354" s="37" t="s">
        <v>636</v>
      </c>
      <c r="D354" s="59">
        <v>820</v>
      </c>
      <c r="E354" s="46" t="s">
        <v>294</v>
      </c>
      <c r="F354" s="59">
        <v>820</v>
      </c>
      <c r="G354" s="37" t="s">
        <v>636</v>
      </c>
      <c r="H354" s="36">
        <v>3184561348</v>
      </c>
      <c r="I354" s="36">
        <v>2102</v>
      </c>
      <c r="J354" s="60"/>
      <c r="K354" s="31"/>
      <c r="L354" s="19" t="str">
        <f ca="1">IFERROR(__xludf.DUMMYFUNCTION("""COMPUTED_VALUE"""),"Cali La Independencia")</f>
        <v>Cali La Independencia</v>
      </c>
      <c r="M354" s="19" t="str">
        <f ca="1">IFERROR(__xludf.DUMMYFUNCTION("QUERY(C354:E731,""SELECT * WHERE ( E like  '%""&amp;L354&amp;""%') limit 1"")"),"Valle del cauca")</f>
        <v>Valle del cauca</v>
      </c>
      <c r="N354" s="19">
        <f ca="1">IFERROR(__xludf.DUMMYFUNCTION("""COMPUTED_VALUE"""),820)</f>
        <v>820</v>
      </c>
      <c r="O354" s="19" t="str">
        <f ca="1">IFERROR(__xludf.DUMMYFUNCTION("""COMPUTED_VALUE"""),"Cali La Independencia")</f>
        <v>Cali La Independencia</v>
      </c>
    </row>
    <row r="355" spans="1:15" ht="14.25" customHeight="1" x14ac:dyDescent="0.25">
      <c r="A355" s="51">
        <v>44912</v>
      </c>
      <c r="B355" s="31"/>
      <c r="C355" s="37" t="s">
        <v>636</v>
      </c>
      <c r="D355" s="59">
        <v>822</v>
      </c>
      <c r="E355" s="46" t="s">
        <v>73</v>
      </c>
      <c r="F355" s="59">
        <v>822</v>
      </c>
      <c r="G355" s="37" t="s">
        <v>636</v>
      </c>
      <c r="H355" s="36">
        <v>3207878043</v>
      </c>
      <c r="I355" s="36">
        <v>2107</v>
      </c>
      <c r="J355" s="60"/>
      <c r="K355" s="31"/>
      <c r="L355" s="19" t="str">
        <f ca="1">IFERROR(__xludf.DUMMYFUNCTION("""COMPUTED_VALUE"""),"Cali San Fernando")</f>
        <v>Cali San Fernando</v>
      </c>
      <c r="M355" s="19" t="str">
        <f ca="1">IFERROR(__xludf.DUMMYFUNCTION("QUERY(C355:E732,""SELECT * WHERE ( E like  '%""&amp;L355&amp;""%') limit 1"")"),"Valle del cauca")</f>
        <v>Valle del cauca</v>
      </c>
      <c r="N355" s="19">
        <f ca="1">IFERROR(__xludf.DUMMYFUNCTION("""COMPUTED_VALUE"""),822)</f>
        <v>822</v>
      </c>
      <c r="O355" s="19" t="str">
        <f ca="1">IFERROR(__xludf.DUMMYFUNCTION("""COMPUTED_VALUE"""),"Cali San Fernando")</f>
        <v>Cali San Fernando</v>
      </c>
    </row>
    <row r="356" spans="1:15" ht="14.25" customHeight="1" x14ac:dyDescent="0.25">
      <c r="A356" s="51">
        <v>44913</v>
      </c>
      <c r="B356" s="31"/>
      <c r="C356" s="37" t="s">
        <v>636</v>
      </c>
      <c r="D356" s="59">
        <v>850</v>
      </c>
      <c r="E356" s="46" t="s">
        <v>315</v>
      </c>
      <c r="F356" s="59">
        <v>850</v>
      </c>
      <c r="G356" s="37" t="s">
        <v>636</v>
      </c>
      <c r="H356" s="36">
        <v>3185171690</v>
      </c>
      <c r="I356" s="36">
        <v>2030</v>
      </c>
      <c r="J356" s="60"/>
      <c r="K356" s="31"/>
      <c r="L356" s="19" t="str">
        <f ca="1">IFERROR(__xludf.DUMMYFUNCTION("""COMPUTED_VALUE"""),"Palmira")</f>
        <v>Palmira</v>
      </c>
      <c r="M356" s="19" t="str">
        <f ca="1">IFERROR(__xludf.DUMMYFUNCTION("QUERY(C356:E733,""SELECT * WHERE ( E like  '%""&amp;L356&amp;""%') limit 1"")"),"Valle del cauca")</f>
        <v>Valle del cauca</v>
      </c>
      <c r="N356" s="19">
        <f ca="1">IFERROR(__xludf.DUMMYFUNCTION("""COMPUTED_VALUE"""),850)</f>
        <v>850</v>
      </c>
      <c r="O356" s="19" t="str">
        <f ca="1">IFERROR(__xludf.DUMMYFUNCTION("""COMPUTED_VALUE"""),"Palmira")</f>
        <v>Palmira</v>
      </c>
    </row>
    <row r="357" spans="1:15" ht="14.25" customHeight="1" x14ac:dyDescent="0.25">
      <c r="A357" s="66">
        <v>44919</v>
      </c>
      <c r="B357" s="31"/>
      <c r="C357" s="37" t="s">
        <v>636</v>
      </c>
      <c r="D357" s="59">
        <v>870</v>
      </c>
      <c r="E357" s="46" t="s">
        <v>321</v>
      </c>
      <c r="F357" s="59">
        <v>870</v>
      </c>
      <c r="G357" s="37" t="s">
        <v>636</v>
      </c>
      <c r="H357" s="36">
        <v>3105470069</v>
      </c>
      <c r="I357" s="36">
        <v>2035</v>
      </c>
      <c r="J357" s="60"/>
      <c r="K357" s="31"/>
      <c r="L357" s="19" t="str">
        <f ca="1">IFERROR(__xludf.DUMMYFUNCTION("""COMPUTED_VALUE"""),"Palmira Samanes")</f>
        <v>Palmira Samanes</v>
      </c>
      <c r="M357" s="19" t="str">
        <f ca="1">IFERROR(__xludf.DUMMYFUNCTION("QUERY(C357:E734,""SELECT * WHERE ( E like  '%""&amp;L357&amp;""%') limit 1"")"),"Valle del cauca")</f>
        <v>Valle del cauca</v>
      </c>
      <c r="N357" s="19">
        <f ca="1">IFERROR(__xludf.DUMMYFUNCTION("""COMPUTED_VALUE"""),870)</f>
        <v>870</v>
      </c>
      <c r="O357" s="19" t="str">
        <f ca="1">IFERROR(__xludf.DUMMYFUNCTION("""COMPUTED_VALUE"""),"Palmira Samanes")</f>
        <v>Palmira Samanes</v>
      </c>
    </row>
    <row r="358" spans="1:15" ht="14.25" customHeight="1" x14ac:dyDescent="0.25">
      <c r="A358" s="51">
        <v>44920</v>
      </c>
      <c r="B358" s="31"/>
      <c r="C358" s="37" t="s">
        <v>636</v>
      </c>
      <c r="D358" s="59">
        <v>852</v>
      </c>
      <c r="E358" s="46" t="s">
        <v>68</v>
      </c>
      <c r="F358" s="59">
        <v>852</v>
      </c>
      <c r="G358" s="37" t="s">
        <v>636</v>
      </c>
      <c r="H358" s="36">
        <v>3182616776</v>
      </c>
      <c r="I358" s="36">
        <v>4041</v>
      </c>
      <c r="J358" s="60"/>
      <c r="K358" s="31"/>
      <c r="L358" s="19" t="str">
        <f ca="1">IFERROR(__xludf.DUMMYFUNCTION("""COMPUTED_VALUE"""),"Pda Candelaria")</f>
        <v>Pda Candelaria</v>
      </c>
      <c r="M358" s="19" t="str">
        <f ca="1">IFERROR(__xludf.DUMMYFUNCTION("QUERY(C358:E735,""SELECT * WHERE ( E like  '%""&amp;L358&amp;""%') limit 1"")"),"Valle del cauca")</f>
        <v>Valle del cauca</v>
      </c>
      <c r="N358" s="19">
        <f ca="1">IFERROR(__xludf.DUMMYFUNCTION("""COMPUTED_VALUE"""),852)</f>
        <v>852</v>
      </c>
      <c r="O358" s="19" t="str">
        <f ca="1">IFERROR(__xludf.DUMMYFUNCTION("""COMPUTED_VALUE"""),"Pda Candelaria")</f>
        <v>Pda Candelaria</v>
      </c>
    </row>
    <row r="359" spans="1:15" ht="14.25" customHeight="1" x14ac:dyDescent="0.25">
      <c r="A359" s="51">
        <v>44926</v>
      </c>
      <c r="B359" s="31"/>
      <c r="C359" s="37" t="s">
        <v>636</v>
      </c>
      <c r="D359" s="59">
        <v>851</v>
      </c>
      <c r="E359" s="46" t="s">
        <v>340</v>
      </c>
      <c r="F359" s="59">
        <v>851</v>
      </c>
      <c r="G359" s="37" t="s">
        <v>636</v>
      </c>
      <c r="H359" s="36">
        <v>3182616665</v>
      </c>
      <c r="I359" s="36">
        <v>4045</v>
      </c>
      <c r="J359" s="60"/>
      <c r="K359" s="31"/>
      <c r="L359" s="19" t="str">
        <f ca="1">IFERROR(__xludf.DUMMYFUNCTION("""COMPUTED_VALUE"""),"Pda El Cerrito")</f>
        <v>Pda El Cerrito</v>
      </c>
      <c r="M359" s="19" t="str">
        <f ca="1">IFERROR(__xludf.DUMMYFUNCTION("QUERY(C359:E736,""SELECT * WHERE ( E like  '%""&amp;L359&amp;""%') limit 1"")"),"Valle del cauca")</f>
        <v>Valle del cauca</v>
      </c>
      <c r="N359" s="19">
        <f ca="1">IFERROR(__xludf.DUMMYFUNCTION("""COMPUTED_VALUE"""),851)</f>
        <v>851</v>
      </c>
      <c r="O359" s="19" t="str">
        <f ca="1">IFERROR(__xludf.DUMMYFUNCTION("""COMPUTED_VALUE"""),"Pda El Cerrito")</f>
        <v>Pda El Cerrito</v>
      </c>
    </row>
    <row r="360" spans="1:15" ht="14.25" customHeight="1" x14ac:dyDescent="0.25">
      <c r="A360" s="51">
        <v>44927</v>
      </c>
      <c r="B360" s="31"/>
      <c r="C360" s="37" t="s">
        <v>636</v>
      </c>
      <c r="D360" s="59">
        <v>404</v>
      </c>
      <c r="E360" s="46" t="s">
        <v>324</v>
      </c>
      <c r="F360" s="59">
        <v>404</v>
      </c>
      <c r="G360" s="37" t="s">
        <v>636</v>
      </c>
      <c r="H360" s="36">
        <v>3104430457</v>
      </c>
      <c r="I360" s="36">
        <v>4059</v>
      </c>
      <c r="J360" s="60"/>
      <c r="K360" s="31"/>
      <c r="L360" s="19" t="str">
        <f ca="1">IFERROR(__xludf.DUMMYFUNCTION("""COMPUTED_VALUE"""),"Pda Florida")</f>
        <v>Pda Florida</v>
      </c>
      <c r="M360" s="19" t="str">
        <f ca="1">IFERROR(__xludf.DUMMYFUNCTION("QUERY(C360:E737,""SELECT * WHERE ( E like  '%""&amp;L360&amp;""%') limit 1"")"),"Valle del cauca")</f>
        <v>Valle del cauca</v>
      </c>
      <c r="N360" s="19">
        <f ca="1">IFERROR(__xludf.DUMMYFUNCTION("""COMPUTED_VALUE"""),404)</f>
        <v>404</v>
      </c>
      <c r="O360" s="19" t="str">
        <f ca="1">IFERROR(__xludf.DUMMYFUNCTION("""COMPUTED_VALUE"""),"Pda Florida")</f>
        <v>Pda Florida</v>
      </c>
    </row>
    <row r="361" spans="1:15" ht="14.25" customHeight="1" x14ac:dyDescent="0.25">
      <c r="A361" s="51">
        <v>44933</v>
      </c>
      <c r="B361" s="31"/>
      <c r="C361" s="37" t="s">
        <v>636</v>
      </c>
      <c r="D361" s="59">
        <v>863</v>
      </c>
      <c r="E361" s="46" t="s">
        <v>663</v>
      </c>
      <c r="F361" s="59">
        <v>863</v>
      </c>
      <c r="G361" s="37" t="s">
        <v>636</v>
      </c>
      <c r="H361" s="36">
        <v>3116457779</v>
      </c>
      <c r="I361" s="36">
        <v>4130</v>
      </c>
      <c r="J361" s="60"/>
      <c r="K361" s="31"/>
      <c r="L361" s="19" t="str">
        <f ca="1">IFERROR(__xludf.DUMMYFUNCTION("""COMPUTED_VALUE"""),"Pda La Union (Valle)")</f>
        <v>Pda La Union (Valle)</v>
      </c>
      <c r="M361" s="19" t="str">
        <f ca="1">IFERROR(__xludf.DUMMYFUNCTION("QUERY(C361:E738,""SELECT * WHERE ( E like  '%""&amp;L361&amp;""%') limit 1"")"),"Valle del cauca")</f>
        <v>Valle del cauca</v>
      </c>
      <c r="N361" s="19">
        <f ca="1">IFERROR(__xludf.DUMMYFUNCTION("""COMPUTED_VALUE"""),863)</f>
        <v>863</v>
      </c>
      <c r="O361" s="19" t="str">
        <f ca="1">IFERROR(__xludf.DUMMYFUNCTION("""COMPUTED_VALUE"""),"Pda La Union (Valle)")</f>
        <v>Pda La Union (Valle)</v>
      </c>
    </row>
    <row r="362" spans="1:15" ht="14.25" customHeight="1" x14ac:dyDescent="0.25">
      <c r="A362" s="51">
        <v>44934</v>
      </c>
      <c r="B362" s="31"/>
      <c r="C362" s="37" t="s">
        <v>636</v>
      </c>
      <c r="D362" s="59">
        <v>862</v>
      </c>
      <c r="E362" s="46" t="s">
        <v>330</v>
      </c>
      <c r="F362" s="59">
        <v>862</v>
      </c>
      <c r="G362" s="37" t="s">
        <v>636</v>
      </c>
      <c r="H362" s="36">
        <v>3182097363</v>
      </c>
      <c r="I362" s="36">
        <v>4119</v>
      </c>
      <c r="J362" s="60"/>
      <c r="K362" s="31"/>
      <c r="L362" s="19" t="str">
        <f ca="1">IFERROR(__xludf.DUMMYFUNCTION("""COMPUTED_VALUE"""),"Pda Zarzal")</f>
        <v>Pda Zarzal</v>
      </c>
      <c r="M362" s="19" t="str">
        <f ca="1">IFERROR(__xludf.DUMMYFUNCTION("QUERY(C362:E739,""SELECT * WHERE ( E like  '%""&amp;L362&amp;""%') limit 1"")"),"Valle del cauca")</f>
        <v>Valle del cauca</v>
      </c>
      <c r="N362" s="19">
        <f ca="1">IFERROR(__xludf.DUMMYFUNCTION("""COMPUTED_VALUE"""),862)</f>
        <v>862</v>
      </c>
      <c r="O362" s="19" t="str">
        <f ca="1">IFERROR(__xludf.DUMMYFUNCTION("""COMPUTED_VALUE"""),"Pda Zarzal")</f>
        <v>Pda Zarzal</v>
      </c>
    </row>
    <row r="363" spans="1:15" ht="14.25" customHeight="1" x14ac:dyDescent="0.25">
      <c r="A363" s="51">
        <v>44935</v>
      </c>
      <c r="B363" s="31"/>
      <c r="C363" s="37" t="s">
        <v>636</v>
      </c>
      <c r="D363" s="59">
        <v>860</v>
      </c>
      <c r="E363" s="46" t="s">
        <v>327</v>
      </c>
      <c r="F363" s="59">
        <v>860</v>
      </c>
      <c r="G363" s="37" t="s">
        <v>636</v>
      </c>
      <c r="H363" s="36">
        <v>3185171661</v>
      </c>
      <c r="I363" s="36">
        <v>2002</v>
      </c>
      <c r="J363" s="60"/>
      <c r="K363" s="31"/>
      <c r="L363" s="19" t="str">
        <f ca="1">IFERROR(__xludf.DUMMYFUNCTION("""COMPUTED_VALUE"""),"Tulua")</f>
        <v>Tulua</v>
      </c>
      <c r="M363" s="19" t="str">
        <f ca="1">IFERROR(__xludf.DUMMYFUNCTION("QUERY(C363:E740,""SELECT * WHERE ( E like  '%""&amp;L363&amp;""%') limit 1"")"),"Valle del cauca")</f>
        <v>Valle del cauca</v>
      </c>
      <c r="N363" s="19">
        <f ca="1">IFERROR(__xludf.DUMMYFUNCTION("""COMPUTED_VALUE"""),860)</f>
        <v>860</v>
      </c>
      <c r="O363" s="19" t="str">
        <f ca="1">IFERROR(__xludf.DUMMYFUNCTION("""COMPUTED_VALUE"""),"Tulua")</f>
        <v>Tulua</v>
      </c>
    </row>
    <row r="364" spans="1:15" ht="14.25" customHeight="1" x14ac:dyDescent="0.25">
      <c r="A364" s="51">
        <v>44940</v>
      </c>
      <c r="B364" s="31"/>
      <c r="C364" s="37" t="s">
        <v>145</v>
      </c>
      <c r="D364" s="59">
        <v>100</v>
      </c>
      <c r="E364" s="46" t="s">
        <v>672</v>
      </c>
      <c r="F364" s="59">
        <v>100</v>
      </c>
      <c r="G364" s="37" t="s">
        <v>145</v>
      </c>
      <c r="H364" s="36">
        <v>0</v>
      </c>
      <c r="I364" s="36">
        <v>0</v>
      </c>
      <c r="J364" s="60"/>
      <c r="K364" s="31"/>
      <c r="L364" s="19" t="str">
        <f ca="1">IFERROR(__xludf.DUMMYFUNCTION("""COMPUTED_VALUE"""),"Sede administrativa")</f>
        <v>Sede administrativa</v>
      </c>
      <c r="M364" s="19" t="str">
        <f ca="1">IFERROR(__xludf.DUMMYFUNCTION("QUERY(C364:E741,""SELECT * WHERE ( E like  '%""&amp;L364&amp;""%') limit 1"")"),"Cauca")</f>
        <v>Cauca</v>
      </c>
      <c r="N364" s="19">
        <f ca="1">IFERROR(__xludf.DUMMYFUNCTION("""COMPUTED_VALUE"""),100)</f>
        <v>100</v>
      </c>
      <c r="O364" s="19" t="str">
        <f ca="1">IFERROR(__xludf.DUMMYFUNCTION("""COMPUTED_VALUE"""),"Sede administrativa")</f>
        <v>Sede administrativa</v>
      </c>
    </row>
    <row r="365" spans="1:15" ht="14.25" customHeight="1" x14ac:dyDescent="0.25">
      <c r="A365" s="51">
        <v>44941</v>
      </c>
      <c r="B365" s="31"/>
      <c r="C365" s="37" t="s">
        <v>516</v>
      </c>
      <c r="D365" s="59">
        <v>526</v>
      </c>
      <c r="E365" s="46" t="s">
        <v>539</v>
      </c>
      <c r="F365" s="59">
        <v>526</v>
      </c>
      <c r="G365" s="37" t="s">
        <v>516</v>
      </c>
      <c r="H365" s="36">
        <v>3108793922</v>
      </c>
      <c r="I365" s="36"/>
      <c r="J365" s="60"/>
      <c r="K365" s="31"/>
      <c r="L365" s="19" t="str">
        <f ca="1">IFERROR(__xludf.DUMMYFUNCTION("""COMPUTED_VALUE"""),"Pda Orito")</f>
        <v>Pda Orito</v>
      </c>
      <c r="M365" s="19" t="str">
        <f ca="1">IFERROR(__xludf.DUMMYFUNCTION("QUERY(C365:E742,""SELECT * WHERE ( E like  '%""&amp;L365&amp;""%') limit 1"")"),"Huila")</f>
        <v>Huila</v>
      </c>
      <c r="N365" s="19">
        <f ca="1">IFERROR(__xludf.DUMMYFUNCTION("""COMPUTED_VALUE"""),526)</f>
        <v>526</v>
      </c>
      <c r="O365" s="19" t="str">
        <f ca="1">IFERROR(__xludf.DUMMYFUNCTION("""COMPUTED_VALUE"""),"Pda Orito")</f>
        <v>Pda Orito</v>
      </c>
    </row>
    <row r="366" spans="1:15" ht="14.25" customHeight="1" x14ac:dyDescent="0.25">
      <c r="A366" s="51">
        <v>44947</v>
      </c>
      <c r="B366" s="31"/>
      <c r="C366" s="37" t="s">
        <v>541</v>
      </c>
      <c r="D366" s="59">
        <v>622</v>
      </c>
      <c r="E366" s="46" t="s">
        <v>564</v>
      </c>
      <c r="F366" s="59">
        <v>622</v>
      </c>
      <c r="G366" s="37" t="s">
        <v>541</v>
      </c>
      <c r="H366" s="36">
        <v>3108793953</v>
      </c>
      <c r="I366" s="36"/>
      <c r="J366" s="60"/>
      <c r="K366" s="31"/>
      <c r="L366" s="19" t="str">
        <f ca="1">IFERROR(__xludf.DUMMYFUNCTION("""COMPUTED_VALUE"""),"Pda Puerto Gaitan")</f>
        <v>Pda Puerto Gaitan</v>
      </c>
      <c r="M366" s="19" t="str">
        <f ca="1">IFERROR(__xludf.DUMMYFUNCTION("QUERY(C366:E743,""SELECT * WHERE ( E like  '%""&amp;L366&amp;""%') limit 1"")"),"Llanos orientales")</f>
        <v>Llanos orientales</v>
      </c>
      <c r="N366" s="19">
        <f ca="1">IFERROR(__xludf.DUMMYFUNCTION("""COMPUTED_VALUE"""),622)</f>
        <v>622</v>
      </c>
      <c r="O366" s="19" t="str">
        <f ca="1">IFERROR(__xludf.DUMMYFUNCTION("""COMPUTED_VALUE"""),"Pda Puerto Gaitan")</f>
        <v>Pda Puerto Gaitan</v>
      </c>
    </row>
    <row r="367" spans="1:15" ht="14.25" customHeight="1" x14ac:dyDescent="0.25">
      <c r="A367" s="51">
        <v>44948</v>
      </c>
      <c r="B367" s="31"/>
      <c r="C367" s="37" t="s">
        <v>567</v>
      </c>
      <c r="D367" s="59">
        <v>645</v>
      </c>
      <c r="E367" s="46" t="s">
        <v>591</v>
      </c>
      <c r="F367" s="59">
        <v>645</v>
      </c>
      <c r="G367" s="37" t="s">
        <v>567</v>
      </c>
      <c r="H367" s="36">
        <v>3206046440</v>
      </c>
      <c r="I367" s="36">
        <v>2446</v>
      </c>
      <c r="J367" s="60"/>
      <c r="K367" s="31"/>
      <c r="L367" s="19" t="str">
        <f ca="1">IFERROR(__xludf.DUMMYFUNCTION("""COMPUTED_VALUE"""),"Pasto la aurora")</f>
        <v>Pasto la aurora</v>
      </c>
      <c r="M367" s="19" t="str">
        <f ca="1">IFERROR(__xludf.DUMMYFUNCTION("QUERY(C367:E744,""SELECT * WHERE ( E like  '%""&amp;L367&amp;""%') limit 1"")"),"Nariño")</f>
        <v>Nariño</v>
      </c>
      <c r="N367" s="19">
        <f ca="1">IFERROR(__xludf.DUMMYFUNCTION("""COMPUTED_VALUE"""),645)</f>
        <v>645</v>
      </c>
      <c r="O367" s="19" t="str">
        <f ca="1">IFERROR(__xludf.DUMMYFUNCTION("""COMPUTED_VALUE"""),"Pasto la aurora")</f>
        <v>Pasto la aurora</v>
      </c>
    </row>
    <row r="368" spans="1:15" ht="14.25" customHeight="1" x14ac:dyDescent="0.25">
      <c r="A368" s="51">
        <v>44954</v>
      </c>
      <c r="B368" s="31"/>
      <c r="C368" s="37" t="s">
        <v>567</v>
      </c>
      <c r="D368" s="59">
        <v>931</v>
      </c>
      <c r="E368" s="46" t="s">
        <v>593</v>
      </c>
      <c r="F368" s="59">
        <v>931</v>
      </c>
      <c r="G368" s="37" t="s">
        <v>567</v>
      </c>
      <c r="H368" s="36">
        <v>3214276115</v>
      </c>
      <c r="I368" s="36">
        <v>2442</v>
      </c>
      <c r="J368" s="60"/>
      <c r="K368" s="31"/>
      <c r="L368" s="19" t="str">
        <f ca="1">IFERROR(__xludf.DUMMYFUNCTION("""COMPUTED_VALUE"""),"Ipiales champagnat")</f>
        <v>Ipiales champagnat</v>
      </c>
      <c r="M368" s="19" t="str">
        <f ca="1">IFERROR(__xludf.DUMMYFUNCTION("QUERY(C368:E745,""SELECT * WHERE ( E like  '%""&amp;L368&amp;""%') limit 1"")"),"Nariño")</f>
        <v>Nariño</v>
      </c>
      <c r="N368" s="19">
        <f ca="1">IFERROR(__xludf.DUMMYFUNCTION("""COMPUTED_VALUE"""),931)</f>
        <v>931</v>
      </c>
      <c r="O368" s="19" t="str">
        <f ca="1">IFERROR(__xludf.DUMMYFUNCTION("""COMPUTED_VALUE"""),"Ipiales champagnat")</f>
        <v>Ipiales champagnat</v>
      </c>
    </row>
    <row r="369" spans="1:15" ht="14.25" customHeight="1" x14ac:dyDescent="0.25">
      <c r="A369" s="51">
        <v>44955</v>
      </c>
      <c r="B369" s="31"/>
      <c r="C369" s="37" t="s">
        <v>567</v>
      </c>
      <c r="D369" s="59">
        <v>642</v>
      </c>
      <c r="E369" s="46" t="s">
        <v>596</v>
      </c>
      <c r="F369" s="59">
        <v>642</v>
      </c>
      <c r="G369" s="37" t="s">
        <v>567</v>
      </c>
      <c r="H369" s="36">
        <v>3108793968</v>
      </c>
      <c r="I369" s="36"/>
      <c r="J369" s="60"/>
      <c r="K369" s="31"/>
      <c r="L369" s="19" t="str">
        <f ca="1">IFERROR(__xludf.DUMMYFUNCTION("""COMPUTED_VALUE"""),"Pda La Cruz")</f>
        <v>Pda La Cruz</v>
      </c>
      <c r="M369" s="19" t="str">
        <f ca="1">IFERROR(__xludf.DUMMYFUNCTION("QUERY(C369:E746,""SELECT * WHERE ( E like  '%""&amp;L369&amp;""%') limit 1"")"),"Nariño")</f>
        <v>Nariño</v>
      </c>
      <c r="N369" s="19">
        <f ca="1">IFERROR(__xludf.DUMMYFUNCTION("""COMPUTED_VALUE"""),642)</f>
        <v>642</v>
      </c>
      <c r="O369" s="19" t="str">
        <f ca="1">IFERROR(__xludf.DUMMYFUNCTION("""COMPUTED_VALUE"""),"Pda La Cruz")</f>
        <v>Pda La Cruz</v>
      </c>
    </row>
    <row r="370" spans="1:15" ht="14.25" customHeight="1" x14ac:dyDescent="0.25">
      <c r="A370" s="51">
        <v>44961</v>
      </c>
      <c r="B370" s="31"/>
      <c r="C370" s="37" t="s">
        <v>567</v>
      </c>
      <c r="D370" s="59">
        <v>643</v>
      </c>
      <c r="E370" s="46" t="s">
        <v>598</v>
      </c>
      <c r="F370" s="59">
        <v>643</v>
      </c>
      <c r="G370" s="37" t="s">
        <v>567</v>
      </c>
      <c r="H370" s="36">
        <v>3108794890</v>
      </c>
      <c r="I370" s="36"/>
      <c r="J370" s="60"/>
      <c r="K370" s="31"/>
      <c r="L370" s="19" t="str">
        <f ca="1">IFERROR(__xludf.DUMMYFUNCTION("""COMPUTED_VALUE"""),"Pda Guachucal")</f>
        <v>Pda Guachucal</v>
      </c>
      <c r="M370" s="19" t="str">
        <f ca="1">IFERROR(__xludf.DUMMYFUNCTION("QUERY(C370:E747,""SELECT * WHERE ( E like  '%""&amp;L370&amp;""%') limit 1"")"),"Nariño")</f>
        <v>Nariño</v>
      </c>
      <c r="N370" s="19">
        <f ca="1">IFERROR(__xludf.DUMMYFUNCTION("""COMPUTED_VALUE"""),643)</f>
        <v>643</v>
      </c>
      <c r="O370" s="19" t="str">
        <f ca="1">IFERROR(__xludf.DUMMYFUNCTION("""COMPUTED_VALUE"""),"Pda Guachucal")</f>
        <v>Pda Guachucal</v>
      </c>
    </row>
    <row r="371" spans="1:15" ht="14.25" customHeight="1" x14ac:dyDescent="0.25">
      <c r="A371" s="51">
        <v>44962</v>
      </c>
      <c r="B371" s="31"/>
      <c r="C371" s="37" t="s">
        <v>567</v>
      </c>
      <c r="D371" s="59">
        <v>644</v>
      </c>
      <c r="E371" s="46" t="s">
        <v>600</v>
      </c>
      <c r="F371" s="59">
        <v>644</v>
      </c>
      <c r="G371" s="37" t="s">
        <v>567</v>
      </c>
      <c r="H371" s="36">
        <v>3108795044</v>
      </c>
      <c r="I371" s="36"/>
      <c r="J371" s="60"/>
      <c r="K371" s="31"/>
      <c r="L371" s="19" t="str">
        <f ca="1">IFERROR(__xludf.DUMMYFUNCTION("""COMPUTED_VALUE"""),"Pda Buesaco")</f>
        <v>Pda Buesaco</v>
      </c>
      <c r="M371" s="19" t="str">
        <f ca="1">IFERROR(__xludf.DUMMYFUNCTION("QUERY(C371:E748,""SELECT * WHERE ( E like  '%""&amp;L371&amp;""%') limit 1"")"),"Nariño")</f>
        <v>Nariño</v>
      </c>
      <c r="N371" s="19">
        <f ca="1">IFERROR(__xludf.DUMMYFUNCTION("""COMPUTED_VALUE"""),644)</f>
        <v>644</v>
      </c>
      <c r="O371" s="19" t="str">
        <f ca="1">IFERROR(__xludf.DUMMYFUNCTION("""COMPUTED_VALUE"""),"Pda Buesaco")</f>
        <v>Pda Buesaco</v>
      </c>
    </row>
    <row r="372" spans="1:15" ht="14.25" customHeight="1" x14ac:dyDescent="0.25">
      <c r="A372" s="51">
        <v>44968</v>
      </c>
      <c r="B372" s="89" t="s">
        <v>673</v>
      </c>
      <c r="C372" s="88"/>
      <c r="D372" s="88"/>
      <c r="E372" s="31"/>
      <c r="F372" s="31"/>
      <c r="G372" s="37"/>
      <c r="H372" s="31"/>
      <c r="I372" s="31"/>
      <c r="J372" s="31"/>
      <c r="K372" s="31"/>
      <c r="L372" s="19"/>
      <c r="M372" s="19" t="str">
        <f ca="1">IFERROR(__xludf.DUMMYFUNCTION("QUERY(C372:E749,""SELECT * WHERE ( E like  '%""&amp;L372&amp;""%') limit 1"")"),"#REF!")</f>
        <v>#REF!</v>
      </c>
    </row>
    <row r="373" spans="1:15" ht="14.25" customHeight="1" x14ac:dyDescent="0.25">
      <c r="A373" s="51">
        <v>44969</v>
      </c>
      <c r="B373" s="31"/>
      <c r="C373" s="67" t="s">
        <v>127</v>
      </c>
      <c r="D373" s="67" t="s">
        <v>125</v>
      </c>
      <c r="E373" s="67" t="s">
        <v>126</v>
      </c>
      <c r="F373" s="68" t="s">
        <v>674</v>
      </c>
      <c r="G373" s="37"/>
      <c r="H373" s="31"/>
      <c r="I373" s="31"/>
      <c r="J373" s="31"/>
      <c r="K373" s="31"/>
      <c r="L373" s="19" t="str">
        <f ca="1">IFERROR(__xludf.DUMMYFUNCTION("""COMPUTED_VALUE"""),"OFICINA")</f>
        <v>OFICINA</v>
      </c>
      <c r="M373" s="19" t="str">
        <f ca="1">IFERROR(__xludf.DUMMYFUNCTION("QUERY(C373:E750,""SELECT * WHERE ( E like  '%""&amp;L373&amp;""%') limit 1"")"),"REGIONAL")</f>
        <v>REGIONAL</v>
      </c>
      <c r="N373" s="19" t="str">
        <f ca="1">IFERROR(__xludf.DUMMYFUNCTION("""COMPUTED_VALUE"""),"COD")</f>
        <v>COD</v>
      </c>
      <c r="O373" s="19" t="str">
        <f ca="1">IFERROR(__xludf.DUMMYFUNCTION("""COMPUTED_VALUE"""),"OFICINA")</f>
        <v>OFICINA</v>
      </c>
    </row>
    <row r="374" spans="1:15" ht="14.25" customHeight="1" x14ac:dyDescent="0.25">
      <c r="A374" s="51">
        <v>44975</v>
      </c>
      <c r="B374" s="31"/>
      <c r="C374" s="69" t="s">
        <v>145</v>
      </c>
      <c r="D374" s="70">
        <v>381</v>
      </c>
      <c r="E374" s="69" t="s">
        <v>164</v>
      </c>
      <c r="F374" s="70">
        <v>381</v>
      </c>
      <c r="G374" s="69" t="s">
        <v>145</v>
      </c>
      <c r="H374" s="31"/>
      <c r="I374" s="31"/>
      <c r="J374" s="31"/>
      <c r="K374" s="31"/>
      <c r="L374" s="19" t="str">
        <f ca="1">IFERROR(__xludf.DUMMYFUNCTION("""COMPUTED_VALUE"""),"Bella Vista")</f>
        <v>Bella Vista</v>
      </c>
      <c r="M374" s="19" t="str">
        <f ca="1">IFERROR(__xludf.DUMMYFUNCTION("QUERY(C374:E751,""SELECT * WHERE ( E like  '%""&amp;L374&amp;""%') limit 1"")"),"Cauca")</f>
        <v>Cauca</v>
      </c>
      <c r="N374" s="19">
        <f ca="1">IFERROR(__xludf.DUMMYFUNCTION("""COMPUTED_VALUE"""),395)</f>
        <v>395</v>
      </c>
      <c r="O374" s="19" t="str">
        <f ca="1">IFERROR(__xludf.DUMMYFUNCTION("""COMPUTED_VALUE"""),"Bella Vista")</f>
        <v>Bella Vista</v>
      </c>
    </row>
    <row r="375" spans="1:15" ht="14.25" customHeight="1" x14ac:dyDescent="0.25">
      <c r="A375" s="51">
        <v>44976</v>
      </c>
      <c r="B375" s="31"/>
      <c r="C375" s="69" t="s">
        <v>145</v>
      </c>
      <c r="D375" s="70">
        <v>382</v>
      </c>
      <c r="E375" s="69" t="s">
        <v>178</v>
      </c>
      <c r="F375" s="70">
        <v>382</v>
      </c>
      <c r="G375" s="69" t="s">
        <v>145</v>
      </c>
      <c r="H375" s="31"/>
      <c r="I375" s="31"/>
      <c r="J375" s="31"/>
      <c r="K375" s="31"/>
      <c r="L375" s="19" t="str">
        <f ca="1">IFERROR(__xludf.DUMMYFUNCTION("""COMPUTED_VALUE"""),"Pda La Vega")</f>
        <v>Pda La Vega</v>
      </c>
      <c r="M375" s="19" t="str">
        <f ca="1">IFERROR(__xludf.DUMMYFUNCTION("QUERY(C375:E752,""SELECT * WHERE ( E like  '%""&amp;L375&amp;""%') limit 1"")"),"Cauca")</f>
        <v>Cauca</v>
      </c>
      <c r="N375" s="19">
        <f ca="1">IFERROR(__xludf.DUMMYFUNCTION("""COMPUTED_VALUE"""),376)</f>
        <v>376</v>
      </c>
      <c r="O375" s="19" t="str">
        <f ca="1">IFERROR(__xludf.DUMMYFUNCTION("""COMPUTED_VALUE"""),"Pda La Vega")</f>
        <v>Pda La Vega</v>
      </c>
    </row>
    <row r="376" spans="1:15" ht="14.25" customHeight="1" x14ac:dyDescent="0.25">
      <c r="A376" s="51">
        <v>44982</v>
      </c>
      <c r="B376" s="31"/>
      <c r="C376" s="69" t="s">
        <v>145</v>
      </c>
      <c r="D376" s="70">
        <v>395</v>
      </c>
      <c r="E376" s="69" t="s">
        <v>188</v>
      </c>
      <c r="F376" s="70">
        <v>395</v>
      </c>
      <c r="G376" s="69" t="s">
        <v>145</v>
      </c>
      <c r="H376" s="31"/>
      <c r="I376" s="31"/>
      <c r="J376" s="31"/>
      <c r="K376" s="31"/>
      <c r="L376" s="19" t="str">
        <f ca="1">IFERROR(__xludf.DUMMYFUNCTION("""COMPUTED_VALUE"""),"Puerto Tejada")</f>
        <v>Puerto Tejada</v>
      </c>
      <c r="M376" s="19" t="str">
        <f ca="1">IFERROR(__xludf.DUMMYFUNCTION("QUERY(C376:E752,""SELECT * WHERE ( E like  '%""&amp;L376&amp;""%') limit 1"")"),"Cauca")</f>
        <v>Cauca</v>
      </c>
      <c r="N376" s="19">
        <f ca="1">IFERROR(__xludf.DUMMYFUNCTION("""COMPUTED_VALUE"""),402)</f>
        <v>402</v>
      </c>
      <c r="O376" s="19" t="str">
        <f ca="1">IFERROR(__xludf.DUMMYFUNCTION("""COMPUTED_VALUE"""),"Puerto Tejada")</f>
        <v>Puerto Tejada</v>
      </c>
    </row>
    <row r="377" spans="1:15" ht="14.25" customHeight="1" x14ac:dyDescent="0.25">
      <c r="A377" s="51">
        <v>44983</v>
      </c>
      <c r="B377" s="31"/>
      <c r="C377" s="69" t="s">
        <v>145</v>
      </c>
      <c r="D377" s="70">
        <v>373</v>
      </c>
      <c r="E377" s="69" t="s">
        <v>197</v>
      </c>
      <c r="F377" s="70">
        <v>373</v>
      </c>
      <c r="G377" s="69" t="s">
        <v>145</v>
      </c>
      <c r="H377" s="31"/>
      <c r="I377" s="31"/>
      <c r="J377" s="31"/>
      <c r="K377" s="31"/>
      <c r="L377" s="19" t="str">
        <f ca="1">IFERROR(__xludf.DUMMYFUNCTION("""COMPUTED_VALUE"""),"Turbaco")</f>
        <v>Turbaco</v>
      </c>
      <c r="M377" s="19" t="str">
        <f ca="1">IFERROR(__xludf.DUMMYFUNCTION("QUERY(C377:E752,""SELECT * WHERE ( E like  '%""&amp;L377&amp;""%') limit 1"")"),"Costa centro")</f>
        <v>Costa centro</v>
      </c>
      <c r="N377" s="19">
        <f ca="1">IFERROR(__xludf.DUMMYFUNCTION("""COMPUTED_VALUE"""),302)</f>
        <v>302</v>
      </c>
      <c r="O377" s="19" t="str">
        <f ca="1">IFERROR(__xludf.DUMMYFUNCTION("""COMPUTED_VALUE"""),"Turbaco")</f>
        <v>Turbaco</v>
      </c>
    </row>
    <row r="378" spans="1:15" ht="14.25" customHeight="1" x14ac:dyDescent="0.25">
      <c r="A378" s="51">
        <v>44989</v>
      </c>
      <c r="B378" s="31"/>
      <c r="C378" s="69" t="s">
        <v>145</v>
      </c>
      <c r="D378" s="70">
        <v>383</v>
      </c>
      <c r="E378" s="69" t="s">
        <v>208</v>
      </c>
      <c r="F378" s="70">
        <v>383</v>
      </c>
      <c r="G378" s="69" t="s">
        <v>145</v>
      </c>
      <c r="H378" s="31"/>
      <c r="I378" s="31"/>
      <c r="J378" s="31"/>
      <c r="K378" s="31"/>
      <c r="L378" s="19" t="str">
        <f ca="1">IFERROR(__xludf.DUMMYFUNCTION("""COMPUTED_VALUE"""),"Bosconia")</f>
        <v>Bosconia</v>
      </c>
      <c r="M378" s="19" t="str">
        <f ca="1">IFERROR(__xludf.DUMMYFUNCTION("QUERY(C378:E753,""SELECT * WHERE ( E like  '%""&amp;L378&amp;""%') limit 1"")"),"Costa oriente")</f>
        <v>Costa oriente</v>
      </c>
      <c r="N378" s="19">
        <f ca="1">IFERROR(__xludf.DUMMYFUNCTION("""COMPUTED_VALUE"""),452)</f>
        <v>452</v>
      </c>
      <c r="O378" s="19" t="str">
        <f ca="1">IFERROR(__xludf.DUMMYFUNCTION("""COMPUTED_VALUE"""),"Bosconia")</f>
        <v>Bosconia</v>
      </c>
    </row>
    <row r="379" spans="1:15" ht="14.25" customHeight="1" x14ac:dyDescent="0.25">
      <c r="A379" s="51">
        <v>44990</v>
      </c>
      <c r="B379" s="31"/>
      <c r="C379" s="69" t="s">
        <v>145</v>
      </c>
      <c r="D379" s="70">
        <v>376</v>
      </c>
      <c r="E379" s="69" t="s">
        <v>216</v>
      </c>
      <c r="F379" s="70">
        <v>376</v>
      </c>
      <c r="G379" s="69" t="s">
        <v>145</v>
      </c>
      <c r="H379" s="31"/>
      <c r="I379" s="31"/>
      <c r="J379" s="31"/>
      <c r="K379" s="31"/>
      <c r="L379" s="19" t="str">
        <f ca="1">IFERROR(__xludf.DUMMYFUNCTION("""COMPUTED_VALUE"""),"Cienaga")</f>
        <v>Cienaga</v>
      </c>
      <c r="M379" s="19" t="str">
        <f ca="1">IFERROR(__xludf.DUMMYFUNCTION("QUERY(C379:E754,""SELECT * WHERE ( E like  '%""&amp;L379&amp;""%') limit 1"")"),"Costa oriente")</f>
        <v>Costa oriente</v>
      </c>
      <c r="N379" s="19">
        <f ca="1">IFERROR(__xludf.DUMMYFUNCTION("""COMPUTED_VALUE"""),592)</f>
        <v>592</v>
      </c>
      <c r="O379" s="19" t="str">
        <f ca="1">IFERROR(__xludf.DUMMYFUNCTION("""COMPUTED_VALUE"""),"Cienaga")</f>
        <v>Cienaga</v>
      </c>
    </row>
    <row r="380" spans="1:15" ht="14.25" customHeight="1" x14ac:dyDescent="0.25">
      <c r="A380" s="51">
        <v>44996</v>
      </c>
      <c r="B380" s="31"/>
      <c r="C380" s="69" t="s">
        <v>145</v>
      </c>
      <c r="D380" s="70">
        <v>371</v>
      </c>
      <c r="E380" s="69" t="s">
        <v>224</v>
      </c>
      <c r="F380" s="70">
        <v>371</v>
      </c>
      <c r="G380" s="69" t="s">
        <v>145</v>
      </c>
      <c r="H380" s="31"/>
      <c r="I380" s="31"/>
      <c r="J380" s="31"/>
      <c r="K380" s="31"/>
      <c r="L380" s="19" t="str">
        <f ca="1">IFERROR(__xludf.DUMMYFUNCTION("""COMPUTED_VALUE"""),"Pda Barbosa")</f>
        <v>Pda Barbosa</v>
      </c>
      <c r="M380" s="19" t="str">
        <f ca="1">IFERROR(__xludf.DUMMYFUNCTION("QUERY(C380:E755,""SELECT * WHERE ( E like  '%""&amp;L380&amp;""%') limit 1"")"),"Cundinamarca norte")</f>
        <v>Cundinamarca norte</v>
      </c>
      <c r="N380" s="19">
        <f ca="1">IFERROR(__xludf.DUMMYFUNCTION("""COMPUTED_VALUE"""),633)</f>
        <v>633</v>
      </c>
      <c r="O380" s="19" t="str">
        <f ca="1">IFERROR(__xludf.DUMMYFUNCTION("""COMPUTED_VALUE"""),"Pda Barbosa")</f>
        <v>Pda Barbosa</v>
      </c>
    </row>
    <row r="381" spans="1:15" ht="14.25" customHeight="1" x14ac:dyDescent="0.25">
      <c r="A381" s="51">
        <v>44997</v>
      </c>
      <c r="B381" s="31"/>
      <c r="C381" s="69" t="s">
        <v>145</v>
      </c>
      <c r="D381" s="70">
        <v>402</v>
      </c>
      <c r="E381" s="69" t="s">
        <v>231</v>
      </c>
      <c r="F381" s="70">
        <v>402</v>
      </c>
      <c r="G381" s="69" t="s">
        <v>145</v>
      </c>
      <c r="H381" s="31"/>
      <c r="I381" s="31"/>
      <c r="J381" s="31"/>
      <c r="K381" s="31"/>
      <c r="L381" s="19" t="str">
        <f ca="1">IFERROR(__xludf.DUMMYFUNCTION("""COMPUTED_VALUE"""),"Pda Villeta")</f>
        <v>Pda Villeta</v>
      </c>
      <c r="M381" s="19" t="str">
        <f ca="1">IFERROR(__xludf.DUMMYFUNCTION("QUERY(C381:E756,""SELECT * WHERE ( E like  '%""&amp;L381&amp;""%') limit 1"")"),"Cundinamarca norte")</f>
        <v>Cundinamarca norte</v>
      </c>
      <c r="N381" s="19">
        <f ca="1">IFERROR(__xludf.DUMMYFUNCTION("""COMPUTED_VALUE"""),233)</f>
        <v>233</v>
      </c>
      <c r="O381" s="19" t="str">
        <f ca="1">IFERROR(__xludf.DUMMYFUNCTION("""COMPUTED_VALUE"""),"Pda Villeta")</f>
        <v>Pda Villeta</v>
      </c>
    </row>
    <row r="382" spans="1:15" ht="15.75" customHeight="1" x14ac:dyDescent="0.25">
      <c r="A382" s="51">
        <v>45003</v>
      </c>
      <c r="C382" s="69" t="s">
        <v>145</v>
      </c>
      <c r="D382" s="70">
        <v>391</v>
      </c>
      <c r="E382" s="69" t="s">
        <v>239</v>
      </c>
      <c r="F382" s="70">
        <v>391</v>
      </c>
      <c r="G382" s="69" t="s">
        <v>145</v>
      </c>
      <c r="L382" s="19" t="str">
        <f ca="1">IFERROR(__xludf.DUMMYFUNCTION("""COMPUTED_VALUE"""),"Pda Molinos")</f>
        <v>Pda Molinos</v>
      </c>
      <c r="M382" s="19" t="str">
        <f ca="1">IFERROR(__xludf.DUMMYFUNCTION("QUERY(C382:E757,""SELECT * WHERE ( E like  '%""&amp;L382&amp;""%') limit 1"")"),"Cundinamarca sur")</f>
        <v>Cundinamarca sur</v>
      </c>
      <c r="N382" s="19">
        <f ca="1">IFERROR(__xludf.DUMMYFUNCTION("""COMPUTED_VALUE"""),748)</f>
        <v>748</v>
      </c>
      <c r="O382" s="19" t="str">
        <f ca="1">IFERROR(__xludf.DUMMYFUNCTION("""COMPUTED_VALUE"""),"Pda Molinos")</f>
        <v>Pda Molinos</v>
      </c>
    </row>
    <row r="383" spans="1:15" ht="15.75" customHeight="1" x14ac:dyDescent="0.25">
      <c r="A383" s="51">
        <v>45004</v>
      </c>
      <c r="C383" s="69" t="s">
        <v>145</v>
      </c>
      <c r="D383" s="70">
        <v>390</v>
      </c>
      <c r="E383" s="69" t="s">
        <v>243</v>
      </c>
      <c r="F383" s="70">
        <v>390</v>
      </c>
      <c r="G383" s="69" t="s">
        <v>145</v>
      </c>
      <c r="L383" s="19" t="str">
        <f ca="1">IFERROR(__xludf.DUMMYFUNCTION("""COMPUTED_VALUE"""),"Pda Riosucio")</f>
        <v>Pda Riosucio</v>
      </c>
      <c r="M383" s="19" t="str">
        <f ca="1">IFERROR(__xludf.DUMMYFUNCTION("QUERY(C383:E758,""SELECT * WHERE ( E like  '%""&amp;L383&amp;""%') limit 1"")"),"Eje cafetero")</f>
        <v>Eje cafetero</v>
      </c>
      <c r="N383" s="19">
        <f ca="1">IFERROR(__xludf.DUMMYFUNCTION("""COMPUTED_VALUE"""),733)</f>
        <v>733</v>
      </c>
      <c r="O383" s="19" t="str">
        <f ca="1">IFERROR(__xludf.DUMMYFUNCTION("""COMPUTED_VALUE"""),"Pda Riosucio")</f>
        <v>Pda Riosucio</v>
      </c>
    </row>
    <row r="384" spans="1:15" ht="15.75" customHeight="1" x14ac:dyDescent="0.25">
      <c r="A384" s="51">
        <v>45005</v>
      </c>
      <c r="C384" s="69" t="s">
        <v>145</v>
      </c>
      <c r="D384" s="70">
        <v>380</v>
      </c>
      <c r="E384" s="69" t="s">
        <v>248</v>
      </c>
      <c r="F384" s="70">
        <v>380</v>
      </c>
      <c r="G384" s="69" t="s">
        <v>145</v>
      </c>
      <c r="L384" s="19" t="str">
        <f ca="1">IFERROR(__xludf.DUMMYFUNCTION("""COMPUTED_VALUE"""),"Manizales")</f>
        <v>Manizales</v>
      </c>
      <c r="M384" s="19" t="str">
        <f ca="1">IFERROR(__xludf.DUMMYFUNCTION("QUERY(C384:E759,""SELECT * WHERE ( E like  '%""&amp;L384&amp;""%') limit 1"")"),"Eje cafetero")</f>
        <v>Eje cafetero</v>
      </c>
      <c r="N384" s="19">
        <f ca="1">IFERROR(__xludf.DUMMYFUNCTION("""COMPUTED_VALUE"""),734)</f>
        <v>734</v>
      </c>
      <c r="O384" s="19" t="str">
        <f ca="1">IFERROR(__xludf.DUMMYFUNCTION("""COMPUTED_VALUE"""),"Manizales")</f>
        <v>Manizales</v>
      </c>
    </row>
    <row r="385" spans="1:15" ht="15.75" customHeight="1" x14ac:dyDescent="0.25">
      <c r="A385" s="51">
        <v>45010</v>
      </c>
      <c r="C385" s="69" t="s">
        <v>145</v>
      </c>
      <c r="D385" s="70">
        <v>370</v>
      </c>
      <c r="E385" s="69" t="s">
        <v>48</v>
      </c>
      <c r="F385" s="70">
        <v>370</v>
      </c>
      <c r="G385" s="69" t="s">
        <v>145</v>
      </c>
      <c r="L385" s="19" t="str">
        <f ca="1">IFERROR(__xludf.DUMMYFUNCTION("""COMPUTED_VALUE"""),"Mocoa")</f>
        <v>Mocoa</v>
      </c>
      <c r="M385" s="19" t="str">
        <f ca="1">IFERROR(__xludf.DUMMYFUNCTION("QUERY(C385:E760,""SELECT * WHERE ( E like  '%""&amp;L385&amp;""%') limit 1"")"),"Huila")</f>
        <v>Huila</v>
      </c>
      <c r="N385" s="19">
        <f ca="1">IFERROR(__xludf.DUMMYFUNCTION("""COMPUTED_VALUE"""),521)</f>
        <v>521</v>
      </c>
      <c r="O385" s="19" t="str">
        <f ca="1">IFERROR(__xludf.DUMMYFUNCTION("""COMPUTED_VALUE"""),"Mocoa")</f>
        <v>Mocoa</v>
      </c>
    </row>
    <row r="386" spans="1:15" ht="15.75" customHeight="1" x14ac:dyDescent="0.25">
      <c r="A386" s="51">
        <v>45011</v>
      </c>
      <c r="C386" s="69" t="s">
        <v>145</v>
      </c>
      <c r="D386" s="70">
        <v>403</v>
      </c>
      <c r="E386" s="69" t="s">
        <v>254</v>
      </c>
      <c r="F386" s="70">
        <v>403</v>
      </c>
      <c r="G386" s="69" t="s">
        <v>145</v>
      </c>
      <c r="L386" s="19" t="str">
        <f ca="1">IFERROR(__xludf.DUMMYFUNCTION("""COMPUTED_VALUE"""),"Pda Puerto Asis")</f>
        <v>Pda Puerto Asis</v>
      </c>
      <c r="M386" s="19" t="str">
        <f ca="1">IFERROR(__xludf.DUMMYFUNCTION("QUERY(C386:E761,""SELECT * WHERE ( E like  '%""&amp;L386&amp;""%') limit 1"")"),"Huila")</f>
        <v>Huila</v>
      </c>
      <c r="N386" s="19">
        <f ca="1">IFERROR(__xludf.DUMMYFUNCTION("""COMPUTED_VALUE"""),523)</f>
        <v>523</v>
      </c>
      <c r="O386" s="19" t="str">
        <f ca="1">IFERROR(__xludf.DUMMYFUNCTION("""COMPUTED_VALUE"""),"Pda Puerto Asis")</f>
        <v>Pda Puerto Asis</v>
      </c>
    </row>
    <row r="387" spans="1:15" ht="15.75" customHeight="1" x14ac:dyDescent="0.25">
      <c r="A387" s="51">
        <v>45017</v>
      </c>
      <c r="C387" s="69" t="s">
        <v>145</v>
      </c>
      <c r="D387" s="70">
        <v>400</v>
      </c>
      <c r="E387" s="69" t="s">
        <v>258</v>
      </c>
      <c r="F387" s="70">
        <v>400</v>
      </c>
      <c r="G387" s="69" t="s">
        <v>145</v>
      </c>
      <c r="L387" s="19" t="str">
        <f ca="1">IFERROR(__xludf.DUMMYFUNCTION("""COMPUTED_VALUE"""),"Pda Villagarzon")</f>
        <v>Pda Villagarzon</v>
      </c>
      <c r="M387" s="19" t="str">
        <f ca="1">IFERROR(__xludf.DUMMYFUNCTION("QUERY(C387:E762,""SELECT * WHERE ( E like  '%""&amp;L387&amp;""%') limit 1"")"),"Huila")</f>
        <v>Huila</v>
      </c>
      <c r="N387" s="19">
        <f ca="1">IFERROR(__xludf.DUMMYFUNCTION("""COMPUTED_VALUE"""),527)</f>
        <v>527</v>
      </c>
      <c r="O387" s="19" t="str">
        <f ca="1">IFERROR(__xludf.DUMMYFUNCTION("""COMPUTED_VALUE"""),"Pda Villagarzon")</f>
        <v>Pda Villagarzon</v>
      </c>
    </row>
    <row r="388" spans="1:15" ht="15.75" customHeight="1" x14ac:dyDescent="0.25">
      <c r="A388" s="51">
        <v>45018</v>
      </c>
      <c r="C388" s="69" t="s">
        <v>145</v>
      </c>
      <c r="D388" s="70">
        <v>374</v>
      </c>
      <c r="E388" s="69" t="s">
        <v>259</v>
      </c>
      <c r="F388" s="70">
        <v>374</v>
      </c>
      <c r="G388" s="69" t="s">
        <v>145</v>
      </c>
      <c r="L388" s="19" t="str">
        <f ca="1">IFERROR(__xludf.DUMMYFUNCTION("""COMPUTED_VALUE"""),"Las Delicias")</f>
        <v>Las Delicias</v>
      </c>
      <c r="M388" s="19" t="str">
        <f ca="1">IFERROR(__xludf.DUMMYFUNCTION("QUERY(C388:E763,""SELECT * WHERE ( E like  '%""&amp;L388&amp;""%') limit 1"")"),"Llanos orientales")</f>
        <v>Llanos orientales</v>
      </c>
      <c r="N388" s="19">
        <f ca="1">IFERROR(__xludf.DUMMYFUNCTION("""COMPUTED_VALUE"""),613)</f>
        <v>613</v>
      </c>
      <c r="O388" s="19" t="str">
        <f ca="1">IFERROR(__xludf.DUMMYFUNCTION("""COMPUTED_VALUE"""),"Las Delicias")</f>
        <v>Las Delicias</v>
      </c>
    </row>
    <row r="389" spans="1:15" ht="15.75" customHeight="1" x14ac:dyDescent="0.25">
      <c r="A389" s="51">
        <v>45022</v>
      </c>
      <c r="C389" s="69" t="s">
        <v>263</v>
      </c>
      <c r="D389" s="70">
        <v>290</v>
      </c>
      <c r="E389" s="69" t="s">
        <v>262</v>
      </c>
      <c r="F389" s="70">
        <v>290</v>
      </c>
      <c r="G389" s="69" t="s">
        <v>263</v>
      </c>
      <c r="L389" s="19" t="str">
        <f ca="1">IFERROR(__xludf.DUMMYFUNCTION("""COMPUTED_VALUE"""),"Pda El Tambo Nariño")</f>
        <v>Pda El Tambo Nariño</v>
      </c>
      <c r="M389" s="19" t="str">
        <f ca="1">IFERROR(__xludf.DUMMYFUNCTION("QUERY(C389:E764,""SELECT * WHERE ( E like  '%""&amp;L389&amp;""%') limit 1"")"),"Nariño Norte")</f>
        <v>Nariño Norte</v>
      </c>
      <c r="N389" s="19">
        <f ca="1">IFERROR(__xludf.DUMMYFUNCTION("""COMPUTED_VALUE"""),682)</f>
        <v>682</v>
      </c>
      <c r="O389" s="19" t="str">
        <f ca="1">IFERROR(__xludf.DUMMYFUNCTION("""COMPUTED_VALUE"""),"Pda El Tambo Nariño")</f>
        <v>Pda El Tambo Nariño</v>
      </c>
    </row>
    <row r="390" spans="1:15" ht="15.75" customHeight="1" x14ac:dyDescent="0.25">
      <c r="A390" s="51">
        <v>45023</v>
      </c>
      <c r="C390" s="69" t="s">
        <v>263</v>
      </c>
      <c r="D390" s="70">
        <v>110</v>
      </c>
      <c r="E390" s="69" t="s">
        <v>265</v>
      </c>
      <c r="F390" s="70">
        <v>110</v>
      </c>
      <c r="G390" s="69" t="s">
        <v>263</v>
      </c>
      <c r="L390" s="19" t="str">
        <f ca="1">IFERROR(__xludf.DUMMYFUNCTION("""COMPUTED_VALUE"""),"Pda Linares")</f>
        <v>Pda Linares</v>
      </c>
      <c r="M390" s="19" t="str">
        <f ca="1">IFERROR(__xludf.DUMMYFUNCTION("QUERY(C390:E765,""SELECT * WHERE ( E like  '%""&amp;L390&amp;""%') limit 1"")"),"Nariño Norte")</f>
        <v>Nariño Norte</v>
      </c>
      <c r="N390" s="19">
        <f ca="1">IFERROR(__xludf.DUMMYFUNCTION("""COMPUTED_VALUE"""),663)</f>
        <v>663</v>
      </c>
      <c r="O390" s="19" t="str">
        <f ca="1">IFERROR(__xludf.DUMMYFUNCTION("""COMPUTED_VALUE"""),"Pda Linares")</f>
        <v>Pda Linares</v>
      </c>
    </row>
    <row r="391" spans="1:15" ht="15.75" customHeight="1" x14ac:dyDescent="0.25">
      <c r="A391" s="51">
        <v>45024</v>
      </c>
      <c r="C391" s="69" t="s">
        <v>263</v>
      </c>
      <c r="D391" s="70">
        <v>130</v>
      </c>
      <c r="E391" s="69" t="s">
        <v>267</v>
      </c>
      <c r="F391" s="70">
        <v>130</v>
      </c>
      <c r="G391" s="69" t="s">
        <v>263</v>
      </c>
      <c r="L391" s="19" t="str">
        <f ca="1">IFERROR(__xludf.DUMMYFUNCTION("""COMPUTED_VALUE"""),"Cumbal")</f>
        <v>Cumbal</v>
      </c>
      <c r="M391" s="19" t="str">
        <f ca="1">IFERROR(__xludf.DUMMYFUNCTION("QUERY(C391:E766,""SELECT * WHERE ( E like  '%""&amp;L391&amp;""%') limit 1"")"),"Nariño Sur")</f>
        <v>Nariño Sur</v>
      </c>
      <c r="N391" s="19">
        <f ca="1">IFERROR(__xludf.DUMMYFUNCTION("""COMPUTED_VALUE"""),671)</f>
        <v>671</v>
      </c>
      <c r="O391" s="19" t="str">
        <f ca="1">IFERROR(__xludf.DUMMYFUNCTION("""COMPUTED_VALUE"""),"Cumbal")</f>
        <v>Cumbal</v>
      </c>
    </row>
    <row r="392" spans="1:15" ht="15.75" customHeight="1" x14ac:dyDescent="0.25">
      <c r="A392" s="51">
        <v>45025</v>
      </c>
      <c r="C392" s="69" t="s">
        <v>263</v>
      </c>
      <c r="D392" s="70">
        <v>140</v>
      </c>
      <c r="E392" s="69" t="s">
        <v>270</v>
      </c>
      <c r="F392" s="70">
        <v>140</v>
      </c>
      <c r="G392" s="69" t="s">
        <v>263</v>
      </c>
      <c r="L392" s="19" t="str">
        <f ca="1">IFERROR(__xludf.DUMMYFUNCTION("""COMPUTED_VALUE"""),"Pda Gualmatan")</f>
        <v>Pda Gualmatan</v>
      </c>
      <c r="M392" s="19" t="str">
        <f ca="1">IFERROR(__xludf.DUMMYFUNCTION("QUERY(C392:E767,""SELECT * WHERE ( E like  '%""&amp;L392&amp;""%') limit 1"")"),"Nariño Sur")</f>
        <v>Nariño Sur</v>
      </c>
      <c r="N392" s="19">
        <f ca="1">IFERROR(__xludf.DUMMYFUNCTION("""COMPUTED_VALUE"""),673)</f>
        <v>673</v>
      </c>
      <c r="O392" s="19" t="str">
        <f ca="1">IFERROR(__xludf.DUMMYFUNCTION("""COMPUTED_VALUE"""),"Pda Gualmatan")</f>
        <v>Pda Gualmatan</v>
      </c>
    </row>
    <row r="393" spans="1:15" ht="15.75" customHeight="1" x14ac:dyDescent="0.25">
      <c r="A393" s="51">
        <v>45031</v>
      </c>
      <c r="C393" s="69" t="s">
        <v>263</v>
      </c>
      <c r="D393" s="70">
        <v>150</v>
      </c>
      <c r="E393" s="69" t="s">
        <v>272</v>
      </c>
      <c r="F393" s="70">
        <v>150</v>
      </c>
      <c r="G393" s="69" t="s">
        <v>263</v>
      </c>
      <c r="L393" s="19" t="str">
        <f ca="1">IFERROR(__xludf.DUMMYFUNCTION("""COMPUTED_VALUE"""),"Pda Los Andes")</f>
        <v>Pda Los Andes</v>
      </c>
      <c r="M393" s="19" t="str">
        <f ca="1">IFERROR(__xludf.DUMMYFUNCTION("QUERY(C393:E768,""SELECT * WHERE ( E like  '%""&amp;L393&amp;""%') limit 1"")"),"Nariño Sur")</f>
        <v>Nariño Sur</v>
      </c>
      <c r="N393" s="19">
        <f ca="1">IFERROR(__xludf.DUMMYFUNCTION("""COMPUTED_VALUE"""),683)</f>
        <v>683</v>
      </c>
      <c r="O393" s="19" t="str">
        <f ca="1">IFERROR(__xludf.DUMMYFUNCTION("""COMPUTED_VALUE"""),"Pda Los Andes")</f>
        <v>Pda Los Andes</v>
      </c>
    </row>
    <row r="394" spans="1:15" ht="15.75" customHeight="1" x14ac:dyDescent="0.25">
      <c r="A394" s="51">
        <v>45032</v>
      </c>
      <c r="C394" s="69" t="s">
        <v>263</v>
      </c>
      <c r="D394" s="70">
        <v>142</v>
      </c>
      <c r="E394" s="69" t="s">
        <v>274</v>
      </c>
      <c r="F394" s="70">
        <v>142</v>
      </c>
      <c r="G394" s="69" t="s">
        <v>263</v>
      </c>
      <c r="L394" s="19" t="str">
        <f ca="1">IFERROR(__xludf.DUMMYFUNCTION("""COMPUTED_VALUE"""),"Chaparral")</f>
        <v>Chaparral</v>
      </c>
      <c r="M394" s="19" t="str">
        <f ca="1">IFERROR(__xludf.DUMMYFUNCTION("QUERY(C394:E769,""SELECT * WHERE ( E like  '%""&amp;L394&amp;""%') limit 1"")"),"Tolima")</f>
        <v>Tolima</v>
      </c>
      <c r="N394" s="19">
        <f ca="1">IFERROR(__xludf.DUMMYFUNCTION("""COMPUTED_VALUE"""),801)</f>
        <v>801</v>
      </c>
      <c r="O394" s="19" t="str">
        <f ca="1">IFERROR(__xludf.DUMMYFUNCTION("""COMPUTED_VALUE"""),"Chaparral")</f>
        <v>Chaparral</v>
      </c>
    </row>
    <row r="395" spans="1:15" ht="15.75" customHeight="1" x14ac:dyDescent="0.25">
      <c r="A395" s="51">
        <v>45038</v>
      </c>
      <c r="C395" s="69" t="s">
        <v>263</v>
      </c>
      <c r="D395" s="70">
        <v>291</v>
      </c>
      <c r="E395" s="69" t="s">
        <v>277</v>
      </c>
      <c r="F395" s="70">
        <v>291</v>
      </c>
      <c r="G395" s="69" t="s">
        <v>263</v>
      </c>
      <c r="L395" s="19" t="str">
        <f ca="1">IFERROR(__xludf.DUMMYFUNCTION("""COMPUTED_VALUE"""),"El Salado")</f>
        <v>El Salado</v>
      </c>
      <c r="M395" s="19" t="str">
        <f ca="1">IFERROR(__xludf.DUMMYFUNCTION("QUERY(C395:E770,""SELECT * WHERE ( E like  '%""&amp;L395&amp;""%') limit 1"")"),"Tolima")</f>
        <v>Tolima</v>
      </c>
      <c r="N395" s="19">
        <f ca="1">IFERROR(__xludf.DUMMYFUNCTION("""COMPUTED_VALUE"""),802)</f>
        <v>802</v>
      </c>
      <c r="O395" s="19" t="str">
        <f ca="1">IFERROR(__xludf.DUMMYFUNCTION("""COMPUTED_VALUE"""),"El Salado")</f>
        <v>El Salado</v>
      </c>
    </row>
    <row r="396" spans="1:15" ht="15.75" customHeight="1" x14ac:dyDescent="0.25">
      <c r="A396" s="51">
        <v>45039</v>
      </c>
      <c r="C396" s="69" t="s">
        <v>263</v>
      </c>
      <c r="D396" s="70">
        <v>300</v>
      </c>
      <c r="E396" s="69" t="s">
        <v>279</v>
      </c>
      <c r="F396" s="70">
        <v>300</v>
      </c>
      <c r="G396" s="69" t="s">
        <v>263</v>
      </c>
      <c r="L396" s="19" t="str">
        <f ca="1">IFERROR(__xludf.DUMMYFUNCTION("""COMPUTED_VALUE"""),"Ricaurte")</f>
        <v>Ricaurte</v>
      </c>
      <c r="M396" s="19" t="str">
        <f ca="1">IFERROR(__xludf.DUMMYFUNCTION("QUERY(C396:E771,""SELECT * WHERE ( E like  '%""&amp;L396&amp;""%') limit 1"")"),"Tolima")</f>
        <v>Tolima</v>
      </c>
      <c r="N396" s="19">
        <f ca="1">IFERROR(__xludf.DUMMYFUNCTION("""COMPUTED_VALUE"""),795)</f>
        <v>795</v>
      </c>
      <c r="O396" s="19" t="str">
        <f ca="1">IFERROR(__xludf.DUMMYFUNCTION("""COMPUTED_VALUE"""),"Ricaurte")</f>
        <v>Ricaurte</v>
      </c>
    </row>
    <row r="397" spans="1:15" ht="15.75" customHeight="1" x14ac:dyDescent="0.25">
      <c r="A397" s="51">
        <v>45046</v>
      </c>
      <c r="C397" s="69" t="s">
        <v>263</v>
      </c>
      <c r="D397" s="70">
        <v>162</v>
      </c>
      <c r="E397" s="69" t="s">
        <v>281</v>
      </c>
      <c r="F397" s="70">
        <v>162</v>
      </c>
      <c r="G397" s="69" t="s">
        <v>263</v>
      </c>
      <c r="L397" s="19" t="str">
        <f ca="1">IFERROR(__xludf.DUMMYFUNCTION("""COMPUTED_VALUE"""),"Florida")</f>
        <v>Florida</v>
      </c>
      <c r="M397" s="19" t="str">
        <f ca="1">IFERROR(__xludf.DUMMYFUNCTION("QUERY(C397:E772,""SELECT * WHERE ( E like  '%""&amp;L397&amp;""%') limit 1"")"),"Nororiente")</f>
        <v>Nororiente</v>
      </c>
      <c r="N397" s="19">
        <f ca="1">IFERROR(__xludf.DUMMYFUNCTION("""COMPUTED_VALUE"""),760)</f>
        <v>760</v>
      </c>
      <c r="O397" s="19" t="str">
        <f ca="1">IFERROR(__xludf.DUMMYFUNCTION("""COMPUTED_VALUE"""),"Floridablanca")</f>
        <v>Floridablanca</v>
      </c>
    </row>
    <row r="398" spans="1:15" ht="15.75" customHeight="1" x14ac:dyDescent="0.25">
      <c r="A398" s="51">
        <v>45047</v>
      </c>
      <c r="C398" s="69" t="s">
        <v>263</v>
      </c>
      <c r="D398" s="70">
        <v>161</v>
      </c>
      <c r="E398" s="69" t="s">
        <v>284</v>
      </c>
      <c r="F398" s="70">
        <v>161</v>
      </c>
      <c r="G398" s="69" t="s">
        <v>263</v>
      </c>
      <c r="L398" s="19" t="str">
        <f ca="1">IFERROR(__xludf.DUMMYFUNCTION("""COMPUTED_VALUE"""),"Cali Capri")</f>
        <v>Cali Capri</v>
      </c>
      <c r="M398" s="19" t="str">
        <f ca="1">IFERROR(__xludf.DUMMYFUNCTION("QUERY(C398:E773,""SELECT * WHERE ( E like  '%""&amp;L398&amp;""%') limit 1"")"),"Valle del cauca")</f>
        <v>Valle del cauca</v>
      </c>
      <c r="N398" s="19">
        <f ca="1">IFERROR(__xludf.DUMMYFUNCTION("""COMPUTED_VALUE"""),823)</f>
        <v>823</v>
      </c>
      <c r="O398" s="19" t="str">
        <f ca="1">IFERROR(__xludf.DUMMYFUNCTION("""COMPUTED_VALUE"""),"Cali Capri")</f>
        <v>Cali Capri</v>
      </c>
    </row>
    <row r="399" spans="1:15" ht="15.75" customHeight="1" x14ac:dyDescent="0.25">
      <c r="A399" s="51">
        <v>45052</v>
      </c>
      <c r="C399" s="69" t="s">
        <v>263</v>
      </c>
      <c r="D399" s="70">
        <v>163</v>
      </c>
      <c r="E399" s="69" t="s">
        <v>287</v>
      </c>
      <c r="F399" s="70">
        <v>163</v>
      </c>
      <c r="G399" s="69" t="s">
        <v>263</v>
      </c>
    </row>
    <row r="400" spans="1:15" ht="15.75" customHeight="1" x14ac:dyDescent="0.25">
      <c r="A400" s="51">
        <v>45053</v>
      </c>
      <c r="C400" s="69" t="s">
        <v>263</v>
      </c>
      <c r="D400" s="70">
        <v>122</v>
      </c>
      <c r="E400" s="69" t="s">
        <v>290</v>
      </c>
      <c r="F400" s="70">
        <v>122</v>
      </c>
      <c r="G400" s="69" t="s">
        <v>263</v>
      </c>
    </row>
    <row r="401" spans="1:7" ht="15.75" customHeight="1" x14ac:dyDescent="0.25">
      <c r="A401" s="51">
        <v>45059</v>
      </c>
      <c r="C401" s="69" t="s">
        <v>263</v>
      </c>
      <c r="D401" s="70">
        <v>121</v>
      </c>
      <c r="E401" s="69" t="s">
        <v>293</v>
      </c>
      <c r="F401" s="70">
        <v>121</v>
      </c>
      <c r="G401" s="69" t="s">
        <v>263</v>
      </c>
    </row>
    <row r="402" spans="1:7" ht="15.75" customHeight="1" x14ac:dyDescent="0.25">
      <c r="A402" s="51">
        <v>45060</v>
      </c>
      <c r="C402" s="69" t="s">
        <v>263</v>
      </c>
      <c r="D402" s="70">
        <v>302</v>
      </c>
      <c r="E402" s="69" t="s">
        <v>296</v>
      </c>
      <c r="F402" s="70">
        <v>302</v>
      </c>
      <c r="G402" s="69" t="s">
        <v>263</v>
      </c>
    </row>
    <row r="403" spans="1:7" ht="15.75" customHeight="1" x14ac:dyDescent="0.25">
      <c r="A403" s="51">
        <v>45066</v>
      </c>
      <c r="C403" s="69" t="s">
        <v>263</v>
      </c>
      <c r="D403" s="70">
        <v>160</v>
      </c>
      <c r="E403" s="69" t="s">
        <v>299</v>
      </c>
      <c r="F403" s="70">
        <v>160</v>
      </c>
      <c r="G403" s="69" t="s">
        <v>263</v>
      </c>
    </row>
    <row r="404" spans="1:7" ht="15.75" customHeight="1" x14ac:dyDescent="0.25">
      <c r="A404" s="51">
        <v>45067</v>
      </c>
      <c r="C404" s="69" t="s">
        <v>263</v>
      </c>
      <c r="D404" s="70">
        <v>120</v>
      </c>
      <c r="E404" s="69" t="s">
        <v>302</v>
      </c>
      <c r="F404" s="70">
        <v>120</v>
      </c>
      <c r="G404" s="69" t="s">
        <v>263</v>
      </c>
    </row>
    <row r="405" spans="1:7" ht="15.75" customHeight="1" x14ac:dyDescent="0.25">
      <c r="A405" s="51">
        <v>45068</v>
      </c>
      <c r="C405" s="69" t="s">
        <v>307</v>
      </c>
      <c r="D405" s="70">
        <v>753</v>
      </c>
      <c r="E405" s="69" t="s">
        <v>306</v>
      </c>
      <c r="F405" s="70">
        <v>753</v>
      </c>
      <c r="G405" s="69" t="s">
        <v>307</v>
      </c>
    </row>
    <row r="406" spans="1:7" ht="15.75" customHeight="1" x14ac:dyDescent="0.25">
      <c r="A406" s="51">
        <v>45073</v>
      </c>
      <c r="C406" s="69" t="s">
        <v>307</v>
      </c>
      <c r="D406" s="70">
        <v>482</v>
      </c>
      <c r="E406" s="69" t="s">
        <v>78</v>
      </c>
      <c r="F406" s="70">
        <v>482</v>
      </c>
      <c r="G406" s="69" t="s">
        <v>307</v>
      </c>
    </row>
    <row r="407" spans="1:7" ht="15.75" customHeight="1" x14ac:dyDescent="0.25">
      <c r="A407" s="51">
        <v>45074</v>
      </c>
      <c r="C407" s="69" t="s">
        <v>307</v>
      </c>
      <c r="D407" s="70">
        <v>920</v>
      </c>
      <c r="E407" s="69" t="s">
        <v>313</v>
      </c>
      <c r="F407" s="70">
        <v>920</v>
      </c>
      <c r="G407" s="69" t="s">
        <v>307</v>
      </c>
    </row>
    <row r="408" spans="1:7" ht="15.75" customHeight="1" x14ac:dyDescent="0.25">
      <c r="A408" s="51">
        <v>45080</v>
      </c>
      <c r="C408" s="69" t="s">
        <v>307</v>
      </c>
      <c r="D408" s="70">
        <v>481</v>
      </c>
      <c r="E408" s="69" t="s">
        <v>317</v>
      </c>
      <c r="F408" s="70">
        <v>481</v>
      </c>
      <c r="G408" s="69" t="s">
        <v>307</v>
      </c>
    </row>
    <row r="409" spans="1:7" ht="15.75" customHeight="1" x14ac:dyDescent="0.25">
      <c r="A409" s="51">
        <v>45081</v>
      </c>
      <c r="C409" s="69" t="s">
        <v>307</v>
      </c>
      <c r="D409" s="70">
        <v>772</v>
      </c>
      <c r="E409" s="69" t="s">
        <v>320</v>
      </c>
      <c r="F409" s="70">
        <v>772</v>
      </c>
      <c r="G409" s="69" t="s">
        <v>307</v>
      </c>
    </row>
    <row r="410" spans="1:7" ht="15.75" customHeight="1" x14ac:dyDescent="0.25">
      <c r="A410" s="51">
        <v>45087</v>
      </c>
      <c r="C410" s="69" t="s">
        <v>307</v>
      </c>
      <c r="D410" s="70">
        <v>480</v>
      </c>
      <c r="E410" s="69" t="s">
        <v>323</v>
      </c>
      <c r="F410" s="70">
        <v>480</v>
      </c>
      <c r="G410" s="69" t="s">
        <v>307</v>
      </c>
    </row>
    <row r="411" spans="1:7" ht="15.75" customHeight="1" x14ac:dyDescent="0.25">
      <c r="A411" s="51">
        <v>45088</v>
      </c>
      <c r="C411" s="69" t="s">
        <v>307</v>
      </c>
      <c r="D411" s="70">
        <v>470</v>
      </c>
      <c r="E411" s="69" t="s">
        <v>326</v>
      </c>
      <c r="F411" s="70">
        <v>470</v>
      </c>
      <c r="G411" s="69" t="s">
        <v>307</v>
      </c>
    </row>
    <row r="412" spans="1:7" ht="15.75" customHeight="1" x14ac:dyDescent="0.25">
      <c r="A412" s="51">
        <v>45089</v>
      </c>
      <c r="C412" s="69" t="s">
        <v>307</v>
      </c>
      <c r="D412" s="70">
        <v>471</v>
      </c>
      <c r="E412" s="69" t="s">
        <v>329</v>
      </c>
      <c r="F412" s="70">
        <v>471</v>
      </c>
      <c r="G412" s="69" t="s">
        <v>307</v>
      </c>
    </row>
    <row r="413" spans="1:7" ht="15.75" customHeight="1" x14ac:dyDescent="0.25">
      <c r="A413" s="51">
        <v>45094</v>
      </c>
      <c r="C413" s="69" t="s">
        <v>307</v>
      </c>
      <c r="D413" s="70">
        <v>782</v>
      </c>
      <c r="E413" s="69" t="s">
        <v>332</v>
      </c>
      <c r="F413" s="70">
        <v>782</v>
      </c>
      <c r="G413" s="69" t="s">
        <v>307</v>
      </c>
    </row>
    <row r="414" spans="1:7" ht="15.75" customHeight="1" x14ac:dyDescent="0.25">
      <c r="A414" s="51">
        <v>45095</v>
      </c>
      <c r="C414" s="69" t="s">
        <v>307</v>
      </c>
      <c r="D414" s="70">
        <v>771</v>
      </c>
      <c r="E414" s="69" t="s">
        <v>335</v>
      </c>
      <c r="F414" s="70">
        <v>771</v>
      </c>
      <c r="G414" s="69" t="s">
        <v>307</v>
      </c>
    </row>
    <row r="415" spans="1:7" ht="15.75" customHeight="1" x14ac:dyDescent="0.25">
      <c r="A415" s="51">
        <v>45096</v>
      </c>
      <c r="C415" s="69" t="s">
        <v>307</v>
      </c>
      <c r="D415" s="70">
        <v>781</v>
      </c>
      <c r="E415" s="69" t="s">
        <v>338</v>
      </c>
      <c r="F415" s="70">
        <v>781</v>
      </c>
      <c r="G415" s="69" t="s">
        <v>307</v>
      </c>
    </row>
    <row r="416" spans="1:7" ht="15.75" customHeight="1" x14ac:dyDescent="0.25">
      <c r="A416" s="51">
        <v>45101</v>
      </c>
      <c r="C416" s="69" t="s">
        <v>307</v>
      </c>
      <c r="D416" s="70">
        <v>770</v>
      </c>
      <c r="E416" s="69" t="s">
        <v>342</v>
      </c>
      <c r="F416" s="70">
        <v>770</v>
      </c>
      <c r="G416" s="69" t="s">
        <v>307</v>
      </c>
    </row>
    <row r="417" spans="1:7" ht="15.75" customHeight="1" x14ac:dyDescent="0.25">
      <c r="A417" s="51">
        <v>45102</v>
      </c>
      <c r="C417" s="69" t="s">
        <v>307</v>
      </c>
      <c r="D417" s="70">
        <v>780</v>
      </c>
      <c r="E417" s="69" t="s">
        <v>345</v>
      </c>
      <c r="F417" s="70">
        <v>780</v>
      </c>
      <c r="G417" s="69" t="s">
        <v>307</v>
      </c>
    </row>
    <row r="418" spans="1:7" ht="15.75" customHeight="1" x14ac:dyDescent="0.25">
      <c r="A418" s="51">
        <v>45108</v>
      </c>
      <c r="C418" s="69" t="s">
        <v>349</v>
      </c>
      <c r="D418" s="70">
        <v>590</v>
      </c>
      <c r="E418" s="69" t="s">
        <v>348</v>
      </c>
      <c r="F418" s="70">
        <v>590</v>
      </c>
      <c r="G418" s="69" t="s">
        <v>349</v>
      </c>
    </row>
    <row r="419" spans="1:7" ht="15.75" customHeight="1" x14ac:dyDescent="0.25">
      <c r="A419" s="51">
        <v>45109</v>
      </c>
      <c r="C419" s="69" t="s">
        <v>349</v>
      </c>
      <c r="D419" s="70">
        <v>452</v>
      </c>
      <c r="E419" s="69" t="s">
        <v>352</v>
      </c>
      <c r="F419" s="70">
        <v>452</v>
      </c>
      <c r="G419" s="69" t="s">
        <v>349</v>
      </c>
    </row>
    <row r="420" spans="1:7" ht="15.75" customHeight="1" x14ac:dyDescent="0.2">
      <c r="A420" s="71">
        <v>45110</v>
      </c>
      <c r="C420" s="69" t="s">
        <v>349</v>
      </c>
      <c r="D420" s="70">
        <v>592</v>
      </c>
      <c r="E420" s="69" t="s">
        <v>355</v>
      </c>
      <c r="F420" s="70">
        <v>592</v>
      </c>
      <c r="G420" s="69" t="s">
        <v>349</v>
      </c>
    </row>
    <row r="421" spans="1:7" ht="15.75" customHeight="1" x14ac:dyDescent="0.25">
      <c r="A421" s="51">
        <v>45115</v>
      </c>
      <c r="C421" s="69" t="s">
        <v>349</v>
      </c>
      <c r="D421" s="70">
        <v>451</v>
      </c>
      <c r="E421" s="69" t="s">
        <v>358</v>
      </c>
      <c r="F421" s="70">
        <v>451</v>
      </c>
      <c r="G421" s="69" t="s">
        <v>349</v>
      </c>
    </row>
    <row r="422" spans="1:7" ht="15.75" customHeight="1" x14ac:dyDescent="0.25">
      <c r="A422" s="51">
        <v>45116</v>
      </c>
      <c r="C422" s="69" t="s">
        <v>349</v>
      </c>
      <c r="D422" s="70">
        <v>461</v>
      </c>
      <c r="E422" s="69" t="s">
        <v>94</v>
      </c>
      <c r="F422" s="70">
        <v>461</v>
      </c>
      <c r="G422" s="69" t="s">
        <v>349</v>
      </c>
    </row>
    <row r="423" spans="1:7" ht="15.75" customHeight="1" x14ac:dyDescent="0.25">
      <c r="A423" s="51">
        <v>45122</v>
      </c>
      <c r="C423" s="69" t="s">
        <v>349</v>
      </c>
      <c r="D423" s="70">
        <v>591</v>
      </c>
      <c r="E423" s="69" t="s">
        <v>365</v>
      </c>
      <c r="F423" s="70">
        <v>591</v>
      </c>
      <c r="G423" s="69" t="s">
        <v>349</v>
      </c>
    </row>
    <row r="424" spans="1:7" ht="15.75" customHeight="1" x14ac:dyDescent="0.25">
      <c r="A424" s="51">
        <v>45123</v>
      </c>
      <c r="C424" s="69" t="s">
        <v>349</v>
      </c>
      <c r="D424" s="70">
        <v>455</v>
      </c>
      <c r="E424" s="69" t="s">
        <v>369</v>
      </c>
      <c r="F424" s="70">
        <v>455</v>
      </c>
      <c r="G424" s="69" t="s">
        <v>349</v>
      </c>
    </row>
    <row r="425" spans="1:7" ht="15.75" customHeight="1" x14ac:dyDescent="0.25">
      <c r="A425" s="51">
        <v>45127</v>
      </c>
      <c r="C425" s="69" t="s">
        <v>349</v>
      </c>
      <c r="D425" s="70">
        <v>540</v>
      </c>
      <c r="E425" s="69" t="s">
        <v>373</v>
      </c>
      <c r="F425" s="70">
        <v>540</v>
      </c>
      <c r="G425" s="69" t="s">
        <v>349</v>
      </c>
    </row>
    <row r="426" spans="1:7" ht="15.75" customHeight="1" x14ac:dyDescent="0.25">
      <c r="A426" s="51">
        <v>45129</v>
      </c>
      <c r="C426" s="69" t="s">
        <v>349</v>
      </c>
      <c r="D426" s="70">
        <v>600</v>
      </c>
      <c r="E426" s="69" t="s">
        <v>377</v>
      </c>
      <c r="F426" s="70">
        <v>600</v>
      </c>
      <c r="G426" s="69" t="s">
        <v>349</v>
      </c>
    </row>
    <row r="427" spans="1:7" ht="15.75" customHeight="1" x14ac:dyDescent="0.25">
      <c r="A427" s="51">
        <v>45130</v>
      </c>
      <c r="C427" s="69" t="s">
        <v>349</v>
      </c>
      <c r="D427" s="70">
        <v>450</v>
      </c>
      <c r="E427" s="69" t="s">
        <v>381</v>
      </c>
      <c r="F427" s="70">
        <v>450</v>
      </c>
      <c r="G427" s="69" t="s">
        <v>349</v>
      </c>
    </row>
    <row r="428" spans="1:7" ht="15.75" customHeight="1" x14ac:dyDescent="0.25">
      <c r="A428" s="51">
        <v>45136</v>
      </c>
      <c r="C428" s="69" t="s">
        <v>349</v>
      </c>
      <c r="D428" s="70">
        <v>460</v>
      </c>
      <c r="E428" s="69" t="s">
        <v>385</v>
      </c>
      <c r="F428" s="70">
        <v>460</v>
      </c>
      <c r="G428" s="69" t="s">
        <v>349</v>
      </c>
    </row>
    <row r="429" spans="1:7" ht="15.75" customHeight="1" x14ac:dyDescent="0.25">
      <c r="A429" s="51">
        <v>45137</v>
      </c>
      <c r="C429" s="69" t="s">
        <v>390</v>
      </c>
      <c r="D429" s="70">
        <v>210</v>
      </c>
      <c r="E429" s="69" t="s">
        <v>389</v>
      </c>
      <c r="F429" s="70">
        <v>210</v>
      </c>
      <c r="G429" s="69" t="s">
        <v>390</v>
      </c>
    </row>
    <row r="430" spans="1:7" ht="15.75" customHeight="1" x14ac:dyDescent="0.25">
      <c r="A430" s="51">
        <v>45143</v>
      </c>
      <c r="C430" s="69" t="s">
        <v>390</v>
      </c>
      <c r="D430" s="70">
        <v>230</v>
      </c>
      <c r="E430" s="69" t="s">
        <v>394</v>
      </c>
      <c r="F430" s="70">
        <v>230</v>
      </c>
      <c r="G430" s="69" t="s">
        <v>390</v>
      </c>
    </row>
    <row r="431" spans="1:7" ht="15.75" customHeight="1" x14ac:dyDescent="0.25">
      <c r="A431" s="51">
        <v>45144</v>
      </c>
      <c r="C431" s="69" t="s">
        <v>390</v>
      </c>
      <c r="D431" s="70">
        <v>244</v>
      </c>
      <c r="E431" s="69" t="s">
        <v>398</v>
      </c>
      <c r="F431" s="70">
        <v>244</v>
      </c>
      <c r="G431" s="69" t="s">
        <v>390</v>
      </c>
    </row>
    <row r="432" spans="1:7" ht="15.75" customHeight="1" x14ac:dyDescent="0.25">
      <c r="A432" s="51">
        <v>45145</v>
      </c>
      <c r="C432" s="69" t="s">
        <v>390</v>
      </c>
      <c r="D432" s="70">
        <v>255</v>
      </c>
      <c r="E432" s="69" t="s">
        <v>400</v>
      </c>
      <c r="F432" s="70">
        <v>255</v>
      </c>
      <c r="G432" s="69" t="s">
        <v>390</v>
      </c>
    </row>
    <row r="433" spans="1:7" ht="15.75" customHeight="1" x14ac:dyDescent="0.25">
      <c r="A433" s="72">
        <v>45150</v>
      </c>
      <c r="C433" s="69" t="s">
        <v>390</v>
      </c>
      <c r="D433" s="70">
        <v>634</v>
      </c>
      <c r="E433" s="69" t="s">
        <v>404</v>
      </c>
      <c r="F433" s="70">
        <v>634</v>
      </c>
      <c r="G433" s="69" t="s">
        <v>390</v>
      </c>
    </row>
    <row r="434" spans="1:7" ht="15.75" customHeight="1" x14ac:dyDescent="0.25">
      <c r="A434" s="72">
        <v>45151</v>
      </c>
      <c r="C434" s="69" t="s">
        <v>390</v>
      </c>
      <c r="D434" s="70">
        <v>638</v>
      </c>
      <c r="E434" s="69" t="s">
        <v>408</v>
      </c>
      <c r="F434" s="70">
        <v>638</v>
      </c>
      <c r="G434" s="69" t="s">
        <v>390</v>
      </c>
    </row>
    <row r="435" spans="1:7" ht="15.75" customHeight="1" x14ac:dyDescent="0.25">
      <c r="A435" s="72">
        <v>45157</v>
      </c>
      <c r="C435" s="69" t="s">
        <v>390</v>
      </c>
      <c r="D435" s="70">
        <v>232</v>
      </c>
      <c r="E435" s="69" t="s">
        <v>412</v>
      </c>
      <c r="F435" s="70">
        <v>232</v>
      </c>
      <c r="G435" s="69" t="s">
        <v>390</v>
      </c>
    </row>
    <row r="436" spans="1:7" ht="15.75" customHeight="1" x14ac:dyDescent="0.25">
      <c r="A436" s="72">
        <v>45158</v>
      </c>
      <c r="C436" s="69" t="s">
        <v>390</v>
      </c>
      <c r="D436" s="70">
        <v>235</v>
      </c>
      <c r="E436" s="69" t="s">
        <v>416</v>
      </c>
      <c r="F436" s="70">
        <v>235</v>
      </c>
      <c r="G436" s="69" t="s">
        <v>390</v>
      </c>
    </row>
    <row r="437" spans="1:7" ht="15.75" customHeight="1" x14ac:dyDescent="0.25">
      <c r="A437" s="72">
        <v>45159</v>
      </c>
      <c r="C437" s="69" t="s">
        <v>390</v>
      </c>
      <c r="D437" s="70">
        <v>633</v>
      </c>
      <c r="E437" s="69" t="s">
        <v>420</v>
      </c>
      <c r="F437" s="70">
        <v>633</v>
      </c>
      <c r="G437" s="69" t="s">
        <v>390</v>
      </c>
    </row>
    <row r="438" spans="1:7" ht="15.75" customHeight="1" x14ac:dyDescent="0.25">
      <c r="A438" s="72">
        <v>45164</v>
      </c>
      <c r="C438" s="69" t="s">
        <v>390</v>
      </c>
      <c r="D438" s="70">
        <v>231</v>
      </c>
      <c r="E438" s="69" t="s">
        <v>424</v>
      </c>
      <c r="F438" s="70">
        <v>231</v>
      </c>
      <c r="G438" s="69" t="s">
        <v>390</v>
      </c>
    </row>
    <row r="439" spans="1:7" ht="15.75" customHeight="1" x14ac:dyDescent="0.25">
      <c r="A439" s="72">
        <v>45165</v>
      </c>
      <c r="C439" s="69" t="s">
        <v>390</v>
      </c>
      <c r="D439" s="70">
        <v>252</v>
      </c>
      <c r="E439" s="69" t="s">
        <v>428</v>
      </c>
      <c r="F439" s="70">
        <v>252</v>
      </c>
      <c r="G439" s="69" t="s">
        <v>390</v>
      </c>
    </row>
    <row r="440" spans="1:7" ht="15.75" customHeight="1" x14ac:dyDescent="0.25">
      <c r="A440" s="72">
        <v>45177</v>
      </c>
      <c r="C440" s="69" t="s">
        <v>390</v>
      </c>
      <c r="D440" s="70">
        <v>212</v>
      </c>
      <c r="E440" s="69" t="s">
        <v>432</v>
      </c>
      <c r="F440" s="70">
        <v>212</v>
      </c>
      <c r="G440" s="69" t="s">
        <v>390</v>
      </c>
    </row>
    <row r="441" spans="1:7" ht="15.75" customHeight="1" x14ac:dyDescent="0.25">
      <c r="A441" s="51"/>
      <c r="C441" s="69" t="s">
        <v>390</v>
      </c>
      <c r="D441" s="70">
        <v>214</v>
      </c>
      <c r="E441" s="69" t="s">
        <v>436</v>
      </c>
      <c r="F441" s="70">
        <v>214</v>
      </c>
      <c r="G441" s="69" t="s">
        <v>390</v>
      </c>
    </row>
    <row r="442" spans="1:7" ht="15.75" customHeight="1" x14ac:dyDescent="0.25">
      <c r="A442" s="51"/>
      <c r="C442" s="69" t="s">
        <v>390</v>
      </c>
      <c r="D442" s="70">
        <v>233</v>
      </c>
      <c r="E442" s="69" t="s">
        <v>439</v>
      </c>
      <c r="F442" s="70">
        <v>233</v>
      </c>
      <c r="G442" s="69" t="s">
        <v>390</v>
      </c>
    </row>
    <row r="443" spans="1:7" ht="15.75" customHeight="1" x14ac:dyDescent="0.25">
      <c r="A443" s="51"/>
      <c r="C443" s="69" t="s">
        <v>390</v>
      </c>
      <c r="D443" s="70">
        <v>635</v>
      </c>
      <c r="E443" s="69" t="s">
        <v>443</v>
      </c>
      <c r="F443" s="70">
        <v>635</v>
      </c>
      <c r="G443" s="69" t="s">
        <v>390</v>
      </c>
    </row>
    <row r="444" spans="1:7" ht="15.75" customHeight="1" x14ac:dyDescent="0.2">
      <c r="C444" s="69" t="s">
        <v>390</v>
      </c>
      <c r="D444" s="70">
        <v>211</v>
      </c>
      <c r="E444" s="69" t="s">
        <v>447</v>
      </c>
      <c r="F444" s="70">
        <v>211</v>
      </c>
      <c r="G444" s="69" t="s">
        <v>390</v>
      </c>
    </row>
    <row r="445" spans="1:7" ht="15.75" customHeight="1" x14ac:dyDescent="0.2">
      <c r="C445" s="69" t="s">
        <v>390</v>
      </c>
      <c r="D445" s="70">
        <v>639</v>
      </c>
      <c r="E445" s="69" t="s">
        <v>451</v>
      </c>
      <c r="F445" s="70">
        <v>639</v>
      </c>
      <c r="G445" s="69" t="s">
        <v>390</v>
      </c>
    </row>
    <row r="446" spans="1:7" ht="15.75" customHeight="1" x14ac:dyDescent="0.2">
      <c r="C446" s="69" t="s">
        <v>390</v>
      </c>
      <c r="D446" s="70">
        <v>213</v>
      </c>
      <c r="E446" s="69" t="s">
        <v>455</v>
      </c>
      <c r="F446" s="70">
        <v>213</v>
      </c>
      <c r="G446" s="69" t="s">
        <v>390</v>
      </c>
    </row>
    <row r="447" spans="1:7" ht="15.75" customHeight="1" x14ac:dyDescent="0.2">
      <c r="C447" s="69" t="s">
        <v>460</v>
      </c>
      <c r="D447" s="70">
        <v>220</v>
      </c>
      <c r="E447" s="69" t="s">
        <v>459</v>
      </c>
      <c r="F447" s="70">
        <v>220</v>
      </c>
      <c r="G447" s="69" t="s">
        <v>460</v>
      </c>
    </row>
    <row r="448" spans="1:7" ht="15.75" customHeight="1" x14ac:dyDescent="0.2">
      <c r="C448" s="69" t="s">
        <v>460</v>
      </c>
      <c r="D448" s="70">
        <v>240</v>
      </c>
      <c r="E448" s="69" t="s">
        <v>464</v>
      </c>
      <c r="F448" s="70">
        <v>240</v>
      </c>
      <c r="G448" s="69" t="s">
        <v>460</v>
      </c>
    </row>
    <row r="449" spans="3:7" ht="15.75" customHeight="1" x14ac:dyDescent="0.2">
      <c r="C449" s="69" t="s">
        <v>460</v>
      </c>
      <c r="D449" s="70">
        <v>225</v>
      </c>
      <c r="E449" s="69" t="s">
        <v>468</v>
      </c>
      <c r="F449" s="70">
        <v>225</v>
      </c>
      <c r="G449" s="69" t="s">
        <v>460</v>
      </c>
    </row>
    <row r="450" spans="3:7" ht="15.75" customHeight="1" x14ac:dyDescent="0.2">
      <c r="C450" s="69" t="s">
        <v>460</v>
      </c>
      <c r="D450" s="70">
        <v>242</v>
      </c>
      <c r="E450" s="69" t="s">
        <v>471</v>
      </c>
      <c r="F450" s="70">
        <v>242</v>
      </c>
      <c r="G450" s="69" t="s">
        <v>460</v>
      </c>
    </row>
    <row r="451" spans="3:7" ht="15.75" customHeight="1" x14ac:dyDescent="0.2">
      <c r="C451" s="69" t="s">
        <v>460</v>
      </c>
      <c r="D451" s="70">
        <v>221</v>
      </c>
      <c r="E451" s="69" t="s">
        <v>475</v>
      </c>
      <c r="F451" s="70">
        <v>221</v>
      </c>
      <c r="G451" s="69" t="s">
        <v>460</v>
      </c>
    </row>
    <row r="452" spans="3:7" ht="15.75" customHeight="1" x14ac:dyDescent="0.2">
      <c r="C452" s="69" t="s">
        <v>460</v>
      </c>
      <c r="D452" s="70">
        <v>632</v>
      </c>
      <c r="E452" s="69" t="s">
        <v>479</v>
      </c>
      <c r="F452" s="70">
        <v>632</v>
      </c>
      <c r="G452" s="69" t="s">
        <v>460</v>
      </c>
    </row>
    <row r="453" spans="3:7" ht="15.75" customHeight="1" x14ac:dyDescent="0.2">
      <c r="C453" s="69" t="s">
        <v>460</v>
      </c>
      <c r="D453" s="70">
        <v>245</v>
      </c>
      <c r="E453" s="69" t="s">
        <v>482</v>
      </c>
      <c r="F453" s="70">
        <v>245</v>
      </c>
      <c r="G453" s="69" t="s">
        <v>460</v>
      </c>
    </row>
    <row r="454" spans="3:7" ht="15.75" customHeight="1" x14ac:dyDescent="0.2">
      <c r="C454" s="69" t="s">
        <v>460</v>
      </c>
      <c r="D454" s="70">
        <v>748</v>
      </c>
      <c r="E454" s="69" t="s">
        <v>485</v>
      </c>
      <c r="F454" s="70">
        <v>748</v>
      </c>
      <c r="G454" s="69" t="s">
        <v>460</v>
      </c>
    </row>
    <row r="455" spans="3:7" ht="15.75" customHeight="1" x14ac:dyDescent="0.2">
      <c r="C455" s="69" t="s">
        <v>460</v>
      </c>
      <c r="D455" s="70">
        <v>246</v>
      </c>
      <c r="E455" s="69" t="s">
        <v>488</v>
      </c>
      <c r="F455" s="70">
        <v>246</v>
      </c>
      <c r="G455" s="69" t="s">
        <v>460</v>
      </c>
    </row>
    <row r="456" spans="3:7" ht="15.75" customHeight="1" x14ac:dyDescent="0.2">
      <c r="C456" s="69" t="s">
        <v>460</v>
      </c>
      <c r="D456" s="70">
        <v>226</v>
      </c>
      <c r="E456" s="69" t="s">
        <v>491</v>
      </c>
      <c r="F456" s="70">
        <v>226</v>
      </c>
      <c r="G456" s="69" t="s">
        <v>460</v>
      </c>
    </row>
    <row r="457" spans="3:7" ht="15.75" customHeight="1" x14ac:dyDescent="0.2">
      <c r="C457" s="69" t="s">
        <v>460</v>
      </c>
      <c r="D457" s="70">
        <v>241</v>
      </c>
      <c r="E457" s="69" t="s">
        <v>493</v>
      </c>
      <c r="F457" s="70">
        <v>241</v>
      </c>
      <c r="G457" s="69" t="s">
        <v>460</v>
      </c>
    </row>
    <row r="458" spans="3:7" ht="15.75" customHeight="1" x14ac:dyDescent="0.2">
      <c r="C458" s="69" t="s">
        <v>460</v>
      </c>
      <c r="D458" s="70">
        <v>222</v>
      </c>
      <c r="E458" s="69" t="s">
        <v>495</v>
      </c>
      <c r="F458" s="70">
        <v>222</v>
      </c>
      <c r="G458" s="69" t="s">
        <v>460</v>
      </c>
    </row>
    <row r="459" spans="3:7" ht="15.75" customHeight="1" x14ac:dyDescent="0.2">
      <c r="C459" s="69" t="s">
        <v>460</v>
      </c>
      <c r="D459" s="70">
        <v>219</v>
      </c>
      <c r="E459" s="69" t="s">
        <v>497</v>
      </c>
      <c r="F459" s="70">
        <v>219</v>
      </c>
      <c r="G459" s="69" t="s">
        <v>460</v>
      </c>
    </row>
    <row r="460" spans="3:7" ht="15.75" customHeight="1" x14ac:dyDescent="0.2">
      <c r="C460" s="69" t="s">
        <v>499</v>
      </c>
      <c r="D460" s="70">
        <v>700</v>
      </c>
      <c r="E460" s="69" t="s">
        <v>343</v>
      </c>
      <c r="F460" s="70">
        <v>700</v>
      </c>
      <c r="G460" s="69" t="s">
        <v>499</v>
      </c>
    </row>
    <row r="461" spans="3:7" ht="15.75" customHeight="1" x14ac:dyDescent="0.2">
      <c r="C461" s="69" t="s">
        <v>499</v>
      </c>
      <c r="D461" s="70">
        <v>731</v>
      </c>
      <c r="E461" s="69" t="s">
        <v>375</v>
      </c>
      <c r="F461" s="70">
        <v>731</v>
      </c>
      <c r="G461" s="69" t="s">
        <v>499</v>
      </c>
    </row>
    <row r="462" spans="3:7" ht="15.75" customHeight="1" x14ac:dyDescent="0.2">
      <c r="C462" s="69" t="s">
        <v>499</v>
      </c>
      <c r="D462" s="70">
        <v>736</v>
      </c>
      <c r="E462" s="69" t="s">
        <v>379</v>
      </c>
      <c r="F462" s="70">
        <v>736</v>
      </c>
      <c r="G462" s="69" t="s">
        <v>499</v>
      </c>
    </row>
    <row r="463" spans="3:7" ht="15.75" customHeight="1" x14ac:dyDescent="0.2">
      <c r="C463" s="69" t="s">
        <v>499</v>
      </c>
      <c r="D463" s="70">
        <v>732</v>
      </c>
      <c r="E463" s="69" t="s">
        <v>371</v>
      </c>
      <c r="F463" s="70">
        <v>732</v>
      </c>
      <c r="G463" s="69" t="s">
        <v>499</v>
      </c>
    </row>
    <row r="464" spans="3:7" ht="15.75" customHeight="1" x14ac:dyDescent="0.2">
      <c r="C464" s="69" t="s">
        <v>499</v>
      </c>
      <c r="D464" s="70">
        <v>703</v>
      </c>
      <c r="E464" s="69" t="s">
        <v>350</v>
      </c>
      <c r="F464" s="70">
        <v>703</v>
      </c>
      <c r="G464" s="69" t="s">
        <v>499</v>
      </c>
    </row>
    <row r="465" spans="3:7" ht="15.75" customHeight="1" x14ac:dyDescent="0.2">
      <c r="C465" s="69" t="s">
        <v>499</v>
      </c>
      <c r="D465" s="70">
        <v>701</v>
      </c>
      <c r="E465" s="69" t="s">
        <v>360</v>
      </c>
      <c r="F465" s="70">
        <v>701</v>
      </c>
      <c r="G465" s="69" t="s">
        <v>499</v>
      </c>
    </row>
    <row r="466" spans="3:7" ht="15.75" customHeight="1" x14ac:dyDescent="0.2">
      <c r="C466" s="69" t="s">
        <v>499</v>
      </c>
      <c r="D466" s="70">
        <v>702</v>
      </c>
      <c r="E466" s="69" t="s">
        <v>346</v>
      </c>
      <c r="F466" s="70">
        <v>702</v>
      </c>
      <c r="G466" s="69" t="s">
        <v>499</v>
      </c>
    </row>
    <row r="467" spans="3:7" ht="15.75" customHeight="1" x14ac:dyDescent="0.2">
      <c r="C467" s="69" t="s">
        <v>499</v>
      </c>
      <c r="D467" s="70">
        <v>733</v>
      </c>
      <c r="E467" s="69" t="s">
        <v>507</v>
      </c>
      <c r="F467" s="70">
        <v>733</v>
      </c>
      <c r="G467" s="69" t="s">
        <v>499</v>
      </c>
    </row>
    <row r="468" spans="3:7" ht="15.75" customHeight="1" x14ac:dyDescent="0.2">
      <c r="C468" s="69" t="s">
        <v>499</v>
      </c>
      <c r="D468" s="70">
        <v>721</v>
      </c>
      <c r="E468" s="69" t="s">
        <v>383</v>
      </c>
      <c r="F468" s="70">
        <v>721</v>
      </c>
      <c r="G468" s="69" t="s">
        <v>499</v>
      </c>
    </row>
    <row r="469" spans="3:7" ht="15.75" customHeight="1" x14ac:dyDescent="0.2">
      <c r="C469" s="69" t="s">
        <v>499</v>
      </c>
      <c r="D469" s="70">
        <v>711</v>
      </c>
      <c r="E469" s="69" t="s">
        <v>356</v>
      </c>
      <c r="F469" s="70">
        <v>711</v>
      </c>
      <c r="G469" s="69" t="s">
        <v>499</v>
      </c>
    </row>
    <row r="470" spans="3:7" ht="15.75" customHeight="1" x14ac:dyDescent="0.2">
      <c r="C470" s="69" t="s">
        <v>499</v>
      </c>
      <c r="D470" s="70">
        <v>720</v>
      </c>
      <c r="E470" s="69" t="s">
        <v>363</v>
      </c>
      <c r="F470" s="70">
        <v>720</v>
      </c>
      <c r="G470" s="69" t="s">
        <v>499</v>
      </c>
    </row>
    <row r="471" spans="3:7" ht="15.75" customHeight="1" x14ac:dyDescent="0.2">
      <c r="C471" s="69" t="s">
        <v>499</v>
      </c>
      <c r="D471" s="70">
        <v>730</v>
      </c>
      <c r="E471" s="69" t="s">
        <v>367</v>
      </c>
      <c r="F471" s="70">
        <v>730</v>
      </c>
      <c r="G471" s="69" t="s">
        <v>499</v>
      </c>
    </row>
    <row r="472" spans="3:7" ht="15.75" customHeight="1" x14ac:dyDescent="0.2">
      <c r="C472" s="69" t="s">
        <v>499</v>
      </c>
      <c r="D472" s="70">
        <v>710</v>
      </c>
      <c r="E472" s="69" t="s">
        <v>353</v>
      </c>
      <c r="F472" s="70">
        <v>710</v>
      </c>
      <c r="G472" s="69" t="s">
        <v>499</v>
      </c>
    </row>
    <row r="473" spans="3:7" ht="15.75" customHeight="1" x14ac:dyDescent="0.2">
      <c r="C473" s="69" t="s">
        <v>499</v>
      </c>
      <c r="D473" s="70">
        <v>734</v>
      </c>
      <c r="E473" s="69" t="s">
        <v>675</v>
      </c>
      <c r="F473" s="70">
        <v>734</v>
      </c>
      <c r="G473" s="69" t="s">
        <v>499</v>
      </c>
    </row>
    <row r="474" spans="3:7" ht="15.75" customHeight="1" x14ac:dyDescent="0.2">
      <c r="C474" s="69" t="s">
        <v>516</v>
      </c>
      <c r="D474" s="70">
        <v>330</v>
      </c>
      <c r="E474" s="69" t="s">
        <v>387</v>
      </c>
      <c r="F474" s="70">
        <v>330</v>
      </c>
      <c r="G474" s="69" t="s">
        <v>516</v>
      </c>
    </row>
    <row r="475" spans="3:7" ht="15.75" customHeight="1" x14ac:dyDescent="0.2">
      <c r="C475" s="69" t="s">
        <v>516</v>
      </c>
      <c r="D475" s="70">
        <v>511</v>
      </c>
      <c r="E475" s="69" t="s">
        <v>414</v>
      </c>
      <c r="F475" s="70">
        <v>511</v>
      </c>
      <c r="G475" s="69" t="s">
        <v>516</v>
      </c>
    </row>
    <row r="476" spans="3:7" ht="15.75" customHeight="1" x14ac:dyDescent="0.2">
      <c r="C476" s="69" t="s">
        <v>516</v>
      </c>
      <c r="D476" s="70">
        <v>530</v>
      </c>
      <c r="E476" s="69" t="s">
        <v>406</v>
      </c>
      <c r="F476" s="70">
        <v>530</v>
      </c>
      <c r="G476" s="69" t="s">
        <v>516</v>
      </c>
    </row>
    <row r="477" spans="3:7" ht="15.75" customHeight="1" x14ac:dyDescent="0.2">
      <c r="C477" s="69" t="s">
        <v>516</v>
      </c>
      <c r="D477" s="70">
        <v>510</v>
      </c>
      <c r="E477" s="69" t="s">
        <v>103</v>
      </c>
      <c r="F477" s="70">
        <v>510</v>
      </c>
      <c r="G477" s="69" t="s">
        <v>516</v>
      </c>
    </row>
    <row r="478" spans="3:7" ht="15.75" customHeight="1" x14ac:dyDescent="0.2">
      <c r="C478" s="69" t="s">
        <v>516</v>
      </c>
      <c r="D478" s="70">
        <v>502</v>
      </c>
      <c r="E478" s="69" t="s">
        <v>410</v>
      </c>
      <c r="F478" s="70">
        <v>502</v>
      </c>
      <c r="G478" s="69" t="s">
        <v>516</v>
      </c>
    </row>
    <row r="479" spans="3:7" ht="15.75" customHeight="1" x14ac:dyDescent="0.2">
      <c r="C479" s="69" t="s">
        <v>516</v>
      </c>
      <c r="D479" s="70">
        <v>525</v>
      </c>
      <c r="E479" s="69" t="s">
        <v>426</v>
      </c>
      <c r="F479" s="70">
        <v>525</v>
      </c>
      <c r="G479" s="69" t="s">
        <v>516</v>
      </c>
    </row>
    <row r="480" spans="3:7" ht="15.75" customHeight="1" x14ac:dyDescent="0.2">
      <c r="C480" s="69" t="s">
        <v>516</v>
      </c>
      <c r="D480" s="70">
        <v>501</v>
      </c>
      <c r="E480" s="69" t="s">
        <v>418</v>
      </c>
      <c r="F480" s="70">
        <v>501</v>
      </c>
      <c r="G480" s="69" t="s">
        <v>516</v>
      </c>
    </row>
    <row r="481" spans="3:7" ht="15.75" customHeight="1" x14ac:dyDescent="0.2">
      <c r="C481" s="69" t="s">
        <v>516</v>
      </c>
      <c r="D481" s="70">
        <v>521</v>
      </c>
      <c r="E481" s="69" t="s">
        <v>525</v>
      </c>
      <c r="F481" s="70">
        <v>521</v>
      </c>
      <c r="G481" s="69" t="s">
        <v>516</v>
      </c>
    </row>
    <row r="482" spans="3:7" ht="15.75" customHeight="1" x14ac:dyDescent="0.2">
      <c r="C482" s="69" t="s">
        <v>516</v>
      </c>
      <c r="D482" s="70">
        <v>503</v>
      </c>
      <c r="E482" s="69" t="s">
        <v>396</v>
      </c>
      <c r="F482" s="70">
        <v>503</v>
      </c>
      <c r="G482" s="69" t="s">
        <v>516</v>
      </c>
    </row>
    <row r="483" spans="3:7" ht="15.75" customHeight="1" x14ac:dyDescent="0.2">
      <c r="C483" s="69" t="s">
        <v>516</v>
      </c>
      <c r="D483" s="70">
        <v>512</v>
      </c>
      <c r="E483" s="69" t="s">
        <v>402</v>
      </c>
      <c r="F483" s="70">
        <v>512</v>
      </c>
      <c r="G483" s="69" t="s">
        <v>516</v>
      </c>
    </row>
    <row r="484" spans="3:7" ht="15.75" customHeight="1" x14ac:dyDescent="0.2">
      <c r="C484" s="69" t="s">
        <v>516</v>
      </c>
      <c r="D484" s="70">
        <v>523</v>
      </c>
      <c r="E484" s="69" t="s">
        <v>530</v>
      </c>
      <c r="F484" s="70">
        <v>523</v>
      </c>
      <c r="G484" s="69" t="s">
        <v>516</v>
      </c>
    </row>
    <row r="485" spans="3:7" ht="15.75" customHeight="1" x14ac:dyDescent="0.2">
      <c r="C485" s="69" t="s">
        <v>516</v>
      </c>
      <c r="D485" s="70">
        <v>520</v>
      </c>
      <c r="E485" s="69" t="s">
        <v>422</v>
      </c>
      <c r="F485" s="70">
        <v>520</v>
      </c>
      <c r="G485" s="69" t="s">
        <v>516</v>
      </c>
    </row>
    <row r="486" spans="3:7" ht="15.75" customHeight="1" x14ac:dyDescent="0.2">
      <c r="C486" s="69" t="s">
        <v>516</v>
      </c>
      <c r="D486" s="70">
        <v>522</v>
      </c>
      <c r="E486" s="69" t="s">
        <v>430</v>
      </c>
      <c r="F486" s="70">
        <v>522</v>
      </c>
      <c r="G486" s="69" t="s">
        <v>516</v>
      </c>
    </row>
    <row r="487" spans="3:7" ht="15.75" customHeight="1" x14ac:dyDescent="0.2">
      <c r="C487" s="69" t="s">
        <v>516</v>
      </c>
      <c r="D487" s="70">
        <v>500</v>
      </c>
      <c r="E487" s="69" t="s">
        <v>392</v>
      </c>
      <c r="F487" s="70">
        <v>500</v>
      </c>
      <c r="G487" s="69" t="s">
        <v>516</v>
      </c>
    </row>
    <row r="488" spans="3:7" ht="15.75" customHeight="1" x14ac:dyDescent="0.2">
      <c r="C488" s="69" t="s">
        <v>516</v>
      </c>
      <c r="D488" s="70">
        <v>526</v>
      </c>
      <c r="E488" s="69" t="s">
        <v>539</v>
      </c>
      <c r="F488" s="70">
        <v>526</v>
      </c>
      <c r="G488" s="69" t="s">
        <v>516</v>
      </c>
    </row>
    <row r="489" spans="3:7" ht="15.75" customHeight="1" x14ac:dyDescent="0.2">
      <c r="C489" s="69" t="s">
        <v>516</v>
      </c>
      <c r="D489" s="70">
        <v>527</v>
      </c>
      <c r="E489" s="69" t="s">
        <v>676</v>
      </c>
      <c r="F489" s="70">
        <v>527</v>
      </c>
      <c r="G489" s="69" t="s">
        <v>516</v>
      </c>
    </row>
    <row r="490" spans="3:7" ht="15.75" customHeight="1" x14ac:dyDescent="0.2">
      <c r="C490" s="69" t="s">
        <v>541</v>
      </c>
      <c r="D490" s="70">
        <v>610</v>
      </c>
      <c r="E490" s="69" t="s">
        <v>531</v>
      </c>
      <c r="F490" s="70">
        <v>610</v>
      </c>
      <c r="G490" s="69" t="s">
        <v>541</v>
      </c>
    </row>
    <row r="491" spans="3:7" ht="15.75" customHeight="1" x14ac:dyDescent="0.2">
      <c r="C491" s="69" t="s">
        <v>541</v>
      </c>
      <c r="D491" s="70">
        <v>611</v>
      </c>
      <c r="E491" s="69" t="s">
        <v>38</v>
      </c>
      <c r="F491" s="70">
        <v>611</v>
      </c>
      <c r="G491" s="69" t="s">
        <v>541</v>
      </c>
    </row>
    <row r="492" spans="3:7" ht="15.75" customHeight="1" x14ac:dyDescent="0.2">
      <c r="C492" s="69" t="s">
        <v>541</v>
      </c>
      <c r="D492" s="70">
        <v>612</v>
      </c>
      <c r="E492" s="69" t="s">
        <v>533</v>
      </c>
      <c r="F492" s="70">
        <v>612</v>
      </c>
      <c r="G492" s="69" t="s">
        <v>541</v>
      </c>
    </row>
    <row r="493" spans="3:7" ht="15.75" customHeight="1" x14ac:dyDescent="0.2">
      <c r="C493" s="69" t="s">
        <v>541</v>
      </c>
      <c r="D493" s="70">
        <v>620</v>
      </c>
      <c r="E493" s="69" t="s">
        <v>535</v>
      </c>
      <c r="F493" s="70">
        <v>620</v>
      </c>
      <c r="G493" s="69" t="s">
        <v>541</v>
      </c>
    </row>
    <row r="494" spans="3:7" ht="15.75" customHeight="1" x14ac:dyDescent="0.2">
      <c r="C494" s="69" t="s">
        <v>541</v>
      </c>
      <c r="D494" s="70">
        <v>613</v>
      </c>
      <c r="E494" s="69" t="s">
        <v>550</v>
      </c>
      <c r="F494" s="70">
        <v>613</v>
      </c>
      <c r="G494" s="69" t="s">
        <v>541</v>
      </c>
    </row>
    <row r="495" spans="3:7" ht="15.75" customHeight="1" x14ac:dyDescent="0.2">
      <c r="C495" s="69" t="s">
        <v>541</v>
      </c>
      <c r="D495" s="70">
        <v>911</v>
      </c>
      <c r="E495" s="69" t="s">
        <v>548</v>
      </c>
      <c r="F495" s="70">
        <v>911</v>
      </c>
      <c r="G495" s="69" t="s">
        <v>541</v>
      </c>
    </row>
    <row r="496" spans="3:7" ht="15.75" customHeight="1" x14ac:dyDescent="0.2">
      <c r="C496" s="69" t="s">
        <v>541</v>
      </c>
      <c r="D496" s="70">
        <v>631</v>
      </c>
      <c r="E496" s="69" t="s">
        <v>544</v>
      </c>
      <c r="F496" s="70">
        <v>631</v>
      </c>
      <c r="G496" s="69" t="s">
        <v>541</v>
      </c>
    </row>
    <row r="497" spans="3:7" ht="15.75" customHeight="1" x14ac:dyDescent="0.2">
      <c r="C497" s="69" t="s">
        <v>541</v>
      </c>
      <c r="D497" s="70">
        <v>621</v>
      </c>
      <c r="E497" s="69" t="s">
        <v>537</v>
      </c>
      <c r="F497" s="70">
        <v>621</v>
      </c>
      <c r="G497" s="69" t="s">
        <v>541</v>
      </c>
    </row>
    <row r="498" spans="3:7" ht="15.75" customHeight="1" x14ac:dyDescent="0.2">
      <c r="C498" s="69" t="s">
        <v>541</v>
      </c>
      <c r="D498" s="70">
        <v>630</v>
      </c>
      <c r="E498" s="69" t="s">
        <v>83</v>
      </c>
      <c r="F498" s="70">
        <v>630</v>
      </c>
      <c r="G498" s="69" t="s">
        <v>541</v>
      </c>
    </row>
    <row r="499" spans="3:7" ht="15.75" customHeight="1" x14ac:dyDescent="0.2">
      <c r="C499" s="69" t="s">
        <v>541</v>
      </c>
      <c r="D499" s="70">
        <v>690</v>
      </c>
      <c r="E499" s="69" t="s">
        <v>542</v>
      </c>
      <c r="F499" s="70">
        <v>690</v>
      </c>
      <c r="G499" s="69" t="s">
        <v>541</v>
      </c>
    </row>
    <row r="500" spans="3:7" ht="15.75" customHeight="1" x14ac:dyDescent="0.2">
      <c r="C500" s="69" t="s">
        <v>541</v>
      </c>
      <c r="D500" s="70">
        <v>910</v>
      </c>
      <c r="E500" s="69" t="s">
        <v>546</v>
      </c>
      <c r="F500" s="70">
        <v>910</v>
      </c>
      <c r="G500" s="69" t="s">
        <v>541</v>
      </c>
    </row>
    <row r="501" spans="3:7" ht="15.75" customHeight="1" x14ac:dyDescent="0.2">
      <c r="C501" s="69" t="s">
        <v>541</v>
      </c>
      <c r="D501" s="70">
        <v>622</v>
      </c>
      <c r="E501" s="69" t="s">
        <v>564</v>
      </c>
      <c r="F501" s="70">
        <v>622</v>
      </c>
      <c r="G501" s="69" t="s">
        <v>541</v>
      </c>
    </row>
    <row r="502" spans="3:7" ht="15.75" customHeight="1" x14ac:dyDescent="0.2">
      <c r="C502" s="69" t="s">
        <v>677</v>
      </c>
      <c r="D502" s="70">
        <v>641</v>
      </c>
      <c r="E502" s="69" t="s">
        <v>570</v>
      </c>
      <c r="F502" s="70">
        <v>641</v>
      </c>
      <c r="G502" s="69" t="s">
        <v>677</v>
      </c>
    </row>
    <row r="503" spans="3:7" ht="15.75" customHeight="1" x14ac:dyDescent="0.2">
      <c r="C503" s="69" t="s">
        <v>677</v>
      </c>
      <c r="D503" s="70">
        <v>660</v>
      </c>
      <c r="E503" s="69" t="s">
        <v>574</v>
      </c>
      <c r="F503" s="70">
        <v>660</v>
      </c>
      <c r="G503" s="69" t="s">
        <v>677</v>
      </c>
    </row>
    <row r="504" spans="3:7" ht="15.75" customHeight="1" x14ac:dyDescent="0.2">
      <c r="C504" s="69" t="s">
        <v>677</v>
      </c>
      <c r="D504" s="70">
        <v>680</v>
      </c>
      <c r="E504" s="69" t="s">
        <v>218</v>
      </c>
      <c r="F504" s="70">
        <v>680</v>
      </c>
      <c r="G504" s="69" t="s">
        <v>677</v>
      </c>
    </row>
    <row r="505" spans="3:7" ht="15.75" customHeight="1" x14ac:dyDescent="0.2">
      <c r="C505" s="69" t="s">
        <v>677</v>
      </c>
      <c r="D505" s="70">
        <v>682</v>
      </c>
      <c r="E505" s="69" t="s">
        <v>580</v>
      </c>
      <c r="F505" s="70">
        <v>682</v>
      </c>
      <c r="G505" s="69" t="s">
        <v>677</v>
      </c>
    </row>
    <row r="506" spans="3:7" ht="15.75" customHeight="1" x14ac:dyDescent="0.2">
      <c r="C506" s="69" t="s">
        <v>677</v>
      </c>
      <c r="D506" s="70">
        <v>372</v>
      </c>
      <c r="E506" s="69" t="s">
        <v>166</v>
      </c>
      <c r="F506" s="70">
        <v>372</v>
      </c>
      <c r="G506" s="69" t="s">
        <v>677</v>
      </c>
    </row>
    <row r="507" spans="3:7" ht="15.75" customHeight="1" x14ac:dyDescent="0.2">
      <c r="C507" s="69" t="s">
        <v>677</v>
      </c>
      <c r="D507" s="70">
        <v>681</v>
      </c>
      <c r="E507" s="69" t="s">
        <v>226</v>
      </c>
      <c r="F507" s="70">
        <v>681</v>
      </c>
      <c r="G507" s="69" t="s">
        <v>677</v>
      </c>
    </row>
    <row r="508" spans="3:7" ht="15.75" customHeight="1" x14ac:dyDescent="0.2">
      <c r="C508" s="69" t="s">
        <v>677</v>
      </c>
      <c r="D508" s="70">
        <v>651</v>
      </c>
      <c r="E508" s="69" t="s">
        <v>199</v>
      </c>
      <c r="F508" s="70">
        <v>651</v>
      </c>
      <c r="G508" s="69" t="s">
        <v>677</v>
      </c>
    </row>
    <row r="509" spans="3:7" ht="15.75" customHeight="1" x14ac:dyDescent="0.2">
      <c r="C509" s="69" t="s">
        <v>677</v>
      </c>
      <c r="D509" s="70">
        <v>645</v>
      </c>
      <c r="E509" s="69" t="s">
        <v>591</v>
      </c>
      <c r="F509" s="70">
        <v>645</v>
      </c>
      <c r="G509" s="69" t="s">
        <v>677</v>
      </c>
    </row>
    <row r="510" spans="3:7" ht="15.75" customHeight="1" x14ac:dyDescent="0.2">
      <c r="C510" s="69" t="s">
        <v>677</v>
      </c>
      <c r="D510" s="70">
        <v>642</v>
      </c>
      <c r="E510" s="69" t="s">
        <v>596</v>
      </c>
      <c r="F510" s="70">
        <v>642</v>
      </c>
      <c r="G510" s="69" t="s">
        <v>677</v>
      </c>
    </row>
    <row r="511" spans="3:7" ht="15.75" customHeight="1" x14ac:dyDescent="0.2">
      <c r="C511" s="69" t="s">
        <v>677</v>
      </c>
      <c r="D511" s="70">
        <v>644</v>
      </c>
      <c r="E511" s="69" t="s">
        <v>600</v>
      </c>
      <c r="F511" s="70">
        <v>644</v>
      </c>
      <c r="G511" s="69" t="s">
        <v>677</v>
      </c>
    </row>
    <row r="512" spans="3:7" ht="15.75" customHeight="1" x14ac:dyDescent="0.2">
      <c r="C512" s="69" t="s">
        <v>677</v>
      </c>
      <c r="D512" s="70">
        <v>663</v>
      </c>
      <c r="E512" s="69" t="s">
        <v>678</v>
      </c>
      <c r="F512" s="70">
        <v>663</v>
      </c>
      <c r="G512" s="69" t="s">
        <v>677</v>
      </c>
    </row>
    <row r="513" spans="3:7" ht="15.75" customHeight="1" x14ac:dyDescent="0.2">
      <c r="C513" s="69" t="s">
        <v>679</v>
      </c>
      <c r="D513" s="70">
        <v>670</v>
      </c>
      <c r="E513" s="69" t="s">
        <v>240</v>
      </c>
      <c r="F513" s="70">
        <v>670</v>
      </c>
      <c r="G513" s="69" t="s">
        <v>679</v>
      </c>
    </row>
    <row r="514" spans="3:7" ht="15.75" customHeight="1" x14ac:dyDescent="0.2">
      <c r="C514" s="69" t="s">
        <v>679</v>
      </c>
      <c r="D514" s="70">
        <v>640</v>
      </c>
      <c r="E514" s="69" t="s">
        <v>179</v>
      </c>
      <c r="F514" s="70">
        <v>640</v>
      </c>
      <c r="G514" s="69" t="s">
        <v>679</v>
      </c>
    </row>
    <row r="515" spans="3:7" ht="15.75" customHeight="1" x14ac:dyDescent="0.2">
      <c r="C515" s="69" t="s">
        <v>679</v>
      </c>
      <c r="D515" s="70">
        <v>650</v>
      </c>
      <c r="E515" s="69" t="s">
        <v>54</v>
      </c>
      <c r="F515" s="70">
        <v>650</v>
      </c>
      <c r="G515" s="69" t="s">
        <v>679</v>
      </c>
    </row>
    <row r="516" spans="3:7" ht="15.75" customHeight="1" x14ac:dyDescent="0.2">
      <c r="C516" s="69" t="s">
        <v>679</v>
      </c>
      <c r="D516" s="70">
        <v>671</v>
      </c>
      <c r="E516" s="69" t="s">
        <v>578</v>
      </c>
      <c r="F516" s="70">
        <v>671</v>
      </c>
      <c r="G516" s="69" t="s">
        <v>679</v>
      </c>
    </row>
    <row r="517" spans="3:7" ht="15.75" customHeight="1" x14ac:dyDescent="0.2">
      <c r="C517" s="69" t="s">
        <v>679</v>
      </c>
      <c r="D517" s="70">
        <v>673</v>
      </c>
      <c r="E517" s="69" t="s">
        <v>582</v>
      </c>
      <c r="F517" s="70">
        <v>673</v>
      </c>
      <c r="G517" s="69" t="s">
        <v>679</v>
      </c>
    </row>
    <row r="518" spans="3:7" ht="15.75" customHeight="1" x14ac:dyDescent="0.2">
      <c r="C518" s="69" t="s">
        <v>679</v>
      </c>
      <c r="D518" s="70">
        <v>672</v>
      </c>
      <c r="E518" s="69" t="s">
        <v>244</v>
      </c>
      <c r="F518" s="70">
        <v>672</v>
      </c>
      <c r="G518" s="69" t="s">
        <v>679</v>
      </c>
    </row>
    <row r="519" spans="3:7" ht="15.75" customHeight="1" x14ac:dyDescent="0.2">
      <c r="C519" s="69" t="s">
        <v>679</v>
      </c>
      <c r="D519" s="70">
        <v>661</v>
      </c>
      <c r="E519" s="69" t="s">
        <v>233</v>
      </c>
      <c r="F519" s="70">
        <v>661</v>
      </c>
      <c r="G519" s="69" t="s">
        <v>679</v>
      </c>
    </row>
    <row r="520" spans="3:7" ht="15.75" customHeight="1" x14ac:dyDescent="0.2">
      <c r="C520" s="69" t="s">
        <v>679</v>
      </c>
      <c r="D520" s="70">
        <v>930</v>
      </c>
      <c r="E520" s="69" t="s">
        <v>249</v>
      </c>
      <c r="F520" s="70">
        <v>930</v>
      </c>
      <c r="G520" s="69" t="s">
        <v>679</v>
      </c>
    </row>
    <row r="521" spans="3:7" ht="15.75" customHeight="1" x14ac:dyDescent="0.2">
      <c r="C521" s="69" t="s">
        <v>679</v>
      </c>
      <c r="D521" s="70">
        <v>931</v>
      </c>
      <c r="E521" s="69" t="s">
        <v>593</v>
      </c>
      <c r="F521" s="70">
        <v>931</v>
      </c>
      <c r="G521" s="69" t="s">
        <v>679</v>
      </c>
    </row>
    <row r="522" spans="3:7" ht="15.75" customHeight="1" x14ac:dyDescent="0.2">
      <c r="C522" s="69" t="s">
        <v>679</v>
      </c>
      <c r="D522" s="70">
        <v>643</v>
      </c>
      <c r="E522" s="69" t="s">
        <v>598</v>
      </c>
      <c r="F522" s="70">
        <v>643</v>
      </c>
      <c r="G522" s="69" t="s">
        <v>679</v>
      </c>
    </row>
    <row r="523" spans="3:7" ht="15.75" customHeight="1" x14ac:dyDescent="0.2">
      <c r="C523" s="69" t="s">
        <v>679</v>
      </c>
      <c r="D523" s="70">
        <v>683</v>
      </c>
      <c r="E523" s="69" t="s">
        <v>680</v>
      </c>
      <c r="F523" s="70">
        <v>683</v>
      </c>
      <c r="G523" s="69" t="s">
        <v>679</v>
      </c>
    </row>
    <row r="524" spans="3:7" ht="15.75" customHeight="1" x14ac:dyDescent="0.2">
      <c r="C524" s="69" t="s">
        <v>602</v>
      </c>
      <c r="D524" s="70">
        <v>170</v>
      </c>
      <c r="E524" s="69" t="s">
        <v>552</v>
      </c>
      <c r="F524" s="70">
        <v>170</v>
      </c>
      <c r="G524" s="69" t="s">
        <v>602</v>
      </c>
    </row>
    <row r="525" spans="3:7" ht="15.75" customHeight="1" x14ac:dyDescent="0.2">
      <c r="C525" s="69" t="s">
        <v>602</v>
      </c>
      <c r="D525" s="70">
        <v>755</v>
      </c>
      <c r="E525" s="69" t="s">
        <v>565</v>
      </c>
      <c r="F525" s="70">
        <v>755</v>
      </c>
      <c r="G525" s="69" t="s">
        <v>602</v>
      </c>
    </row>
    <row r="526" spans="3:7" ht="15.75" customHeight="1" x14ac:dyDescent="0.2">
      <c r="C526" s="69" t="s">
        <v>602</v>
      </c>
      <c r="D526" s="70">
        <v>750</v>
      </c>
      <c r="E526" s="69" t="s">
        <v>605</v>
      </c>
      <c r="F526" s="70">
        <v>750</v>
      </c>
      <c r="G526" s="69" t="s">
        <v>602</v>
      </c>
    </row>
    <row r="527" spans="3:7" ht="15.75" customHeight="1" x14ac:dyDescent="0.2">
      <c r="C527" s="69" t="s">
        <v>602</v>
      </c>
      <c r="D527" s="70">
        <v>758</v>
      </c>
      <c r="E527" s="69" t="s">
        <v>560</v>
      </c>
      <c r="F527" s="70">
        <v>758</v>
      </c>
      <c r="G527" s="69" t="s">
        <v>602</v>
      </c>
    </row>
    <row r="528" spans="3:7" ht="15.75" customHeight="1" x14ac:dyDescent="0.2">
      <c r="C528" s="69" t="s">
        <v>602</v>
      </c>
      <c r="D528" s="70">
        <v>745</v>
      </c>
      <c r="E528" s="69" t="s">
        <v>608</v>
      </c>
      <c r="F528" s="70">
        <v>745</v>
      </c>
      <c r="G528" s="69" t="s">
        <v>602</v>
      </c>
    </row>
    <row r="529" spans="3:7" ht="15.75" customHeight="1" x14ac:dyDescent="0.2">
      <c r="C529" s="69" t="s">
        <v>602</v>
      </c>
      <c r="D529" s="70">
        <v>765</v>
      </c>
      <c r="E529" s="69" t="s">
        <v>568</v>
      </c>
      <c r="F529" s="70">
        <v>765</v>
      </c>
      <c r="G529" s="69" t="s">
        <v>602</v>
      </c>
    </row>
    <row r="530" spans="3:7" ht="15.75" customHeight="1" x14ac:dyDescent="0.2">
      <c r="C530" s="69" t="s">
        <v>602</v>
      </c>
      <c r="D530" s="70">
        <v>760</v>
      </c>
      <c r="E530" s="69" t="s">
        <v>562</v>
      </c>
      <c r="F530" s="70">
        <v>760</v>
      </c>
      <c r="G530" s="69" t="s">
        <v>602</v>
      </c>
    </row>
    <row r="531" spans="3:7" ht="15.75" customHeight="1" x14ac:dyDescent="0.2">
      <c r="C531" s="69" t="s">
        <v>613</v>
      </c>
      <c r="D531" s="70">
        <v>811</v>
      </c>
      <c r="E531" s="69" t="s">
        <v>99</v>
      </c>
      <c r="F531" s="70">
        <v>811</v>
      </c>
      <c r="G531" s="69" t="s">
        <v>613</v>
      </c>
    </row>
    <row r="532" spans="3:7" ht="15.75" customHeight="1" x14ac:dyDescent="0.2">
      <c r="C532" s="69" t="s">
        <v>613</v>
      </c>
      <c r="D532" s="70">
        <v>223</v>
      </c>
      <c r="E532" s="69" t="s">
        <v>486</v>
      </c>
      <c r="F532" s="70">
        <v>223</v>
      </c>
      <c r="G532" s="69" t="s">
        <v>613</v>
      </c>
    </row>
    <row r="533" spans="3:7" ht="15.75" customHeight="1" x14ac:dyDescent="0.2">
      <c r="C533" s="69" t="s">
        <v>613</v>
      </c>
      <c r="D533" s="70">
        <v>812</v>
      </c>
      <c r="E533" s="69" t="s">
        <v>480</v>
      </c>
      <c r="F533" s="70">
        <v>812</v>
      </c>
      <c r="G533" s="69" t="s">
        <v>613</v>
      </c>
    </row>
    <row r="534" spans="3:7" ht="15.75" customHeight="1" x14ac:dyDescent="0.2">
      <c r="C534" s="69" t="s">
        <v>613</v>
      </c>
      <c r="D534" s="70">
        <v>790</v>
      </c>
      <c r="E534" s="69" t="s">
        <v>59</v>
      </c>
      <c r="F534" s="70">
        <v>790</v>
      </c>
      <c r="G534" s="69" t="s">
        <v>613</v>
      </c>
    </row>
    <row r="535" spans="3:7" ht="15.75" customHeight="1" x14ac:dyDescent="0.2">
      <c r="C535" s="69" t="s">
        <v>613</v>
      </c>
      <c r="D535" s="70">
        <v>800</v>
      </c>
      <c r="E535" s="69" t="s">
        <v>445</v>
      </c>
      <c r="F535" s="70">
        <v>800</v>
      </c>
      <c r="G535" s="69" t="s">
        <v>613</v>
      </c>
    </row>
    <row r="536" spans="3:7" ht="15.75" customHeight="1" x14ac:dyDescent="0.2">
      <c r="C536" s="69" t="s">
        <v>613</v>
      </c>
      <c r="D536" s="70">
        <v>810</v>
      </c>
      <c r="E536" s="69" t="s">
        <v>453</v>
      </c>
      <c r="F536" s="70">
        <v>810</v>
      </c>
      <c r="G536" s="69" t="s">
        <v>613</v>
      </c>
    </row>
    <row r="537" spans="3:7" ht="15.75" customHeight="1" x14ac:dyDescent="0.2">
      <c r="C537" s="69" t="s">
        <v>613</v>
      </c>
      <c r="D537" s="70">
        <v>792</v>
      </c>
      <c r="E537" s="69" t="s">
        <v>462</v>
      </c>
      <c r="F537" s="70">
        <v>792</v>
      </c>
      <c r="G537" s="69" t="s">
        <v>613</v>
      </c>
    </row>
    <row r="538" spans="3:7" ht="15.75" customHeight="1" x14ac:dyDescent="0.2">
      <c r="C538" s="69" t="s">
        <v>613</v>
      </c>
      <c r="D538" s="70">
        <v>250</v>
      </c>
      <c r="E538" s="69" t="s">
        <v>489</v>
      </c>
      <c r="F538" s="70">
        <v>250</v>
      </c>
      <c r="G538" s="69" t="s">
        <v>613</v>
      </c>
    </row>
    <row r="539" spans="3:7" ht="15.75" customHeight="1" x14ac:dyDescent="0.2">
      <c r="C539" s="69" t="s">
        <v>613</v>
      </c>
      <c r="D539" s="70">
        <v>814</v>
      </c>
      <c r="E539" s="69" t="s">
        <v>457</v>
      </c>
      <c r="F539" s="70">
        <v>814</v>
      </c>
      <c r="G539" s="69" t="s">
        <v>613</v>
      </c>
    </row>
    <row r="540" spans="3:7" ht="15.75" customHeight="1" x14ac:dyDescent="0.2">
      <c r="C540" s="69" t="s">
        <v>613</v>
      </c>
      <c r="D540" s="70">
        <v>801</v>
      </c>
      <c r="E540" s="69" t="s">
        <v>626</v>
      </c>
      <c r="F540" s="70">
        <v>801</v>
      </c>
      <c r="G540" s="69" t="s">
        <v>613</v>
      </c>
    </row>
    <row r="541" spans="3:7" ht="15.75" customHeight="1" x14ac:dyDescent="0.2">
      <c r="C541" s="69" t="s">
        <v>613</v>
      </c>
      <c r="D541" s="70">
        <v>802</v>
      </c>
      <c r="E541" s="69" t="s">
        <v>681</v>
      </c>
      <c r="F541" s="70">
        <v>802</v>
      </c>
      <c r="G541" s="69" t="s">
        <v>613</v>
      </c>
    </row>
    <row r="542" spans="3:7" ht="15.75" customHeight="1" x14ac:dyDescent="0.2">
      <c r="C542" s="69" t="s">
        <v>613</v>
      </c>
      <c r="D542" s="70">
        <v>791</v>
      </c>
      <c r="E542" s="69" t="s">
        <v>629</v>
      </c>
      <c r="F542" s="70">
        <v>791</v>
      </c>
      <c r="G542" s="69" t="s">
        <v>613</v>
      </c>
    </row>
    <row r="543" spans="3:7" ht="15.75" customHeight="1" x14ac:dyDescent="0.2">
      <c r="C543" s="69" t="s">
        <v>613</v>
      </c>
      <c r="D543" s="70">
        <v>813</v>
      </c>
      <c r="E543" s="69" t="s">
        <v>483</v>
      </c>
      <c r="F543" s="70">
        <v>813</v>
      </c>
      <c r="G543" s="69" t="s">
        <v>613</v>
      </c>
    </row>
    <row r="544" spans="3:7" ht="15.75" customHeight="1" x14ac:dyDescent="0.2">
      <c r="C544" s="69" t="s">
        <v>613</v>
      </c>
      <c r="D544" s="70">
        <v>795</v>
      </c>
      <c r="E544" s="69" t="s">
        <v>682</v>
      </c>
      <c r="F544" s="70">
        <v>795</v>
      </c>
      <c r="G544" s="69" t="s">
        <v>613</v>
      </c>
    </row>
    <row r="545" spans="3:7" ht="15.75" customHeight="1" x14ac:dyDescent="0.2">
      <c r="C545" s="69" t="s">
        <v>613</v>
      </c>
      <c r="D545" s="70">
        <v>815</v>
      </c>
      <c r="E545" s="69" t="s">
        <v>477</v>
      </c>
      <c r="F545" s="70">
        <v>815</v>
      </c>
      <c r="G545" s="69" t="s">
        <v>613</v>
      </c>
    </row>
    <row r="546" spans="3:7" ht="15.75" customHeight="1" x14ac:dyDescent="0.2">
      <c r="C546" s="69" t="s">
        <v>636</v>
      </c>
      <c r="D546" s="73">
        <v>401</v>
      </c>
      <c r="E546" s="69" t="s">
        <v>291</v>
      </c>
      <c r="F546" s="73">
        <v>401</v>
      </c>
      <c r="G546" s="69" t="s">
        <v>636</v>
      </c>
    </row>
    <row r="547" spans="3:7" ht="15.75" customHeight="1" x14ac:dyDescent="0.2">
      <c r="C547" s="69" t="s">
        <v>636</v>
      </c>
      <c r="D547" s="73">
        <v>861</v>
      </c>
      <c r="E547" s="69" t="s">
        <v>336</v>
      </c>
      <c r="F547" s="73">
        <v>861</v>
      </c>
      <c r="G547" s="69" t="s">
        <v>636</v>
      </c>
    </row>
    <row r="548" spans="3:7" ht="15.75" customHeight="1" x14ac:dyDescent="0.2">
      <c r="C548" s="69" t="s">
        <v>636</v>
      </c>
      <c r="D548" s="73">
        <v>841</v>
      </c>
      <c r="E548" s="69" t="s">
        <v>304</v>
      </c>
      <c r="F548" s="73">
        <v>841</v>
      </c>
      <c r="G548" s="69" t="s">
        <v>636</v>
      </c>
    </row>
    <row r="549" spans="3:7" ht="15.75" customHeight="1" x14ac:dyDescent="0.2">
      <c r="C549" s="69" t="s">
        <v>636</v>
      </c>
      <c r="D549" s="73">
        <v>842</v>
      </c>
      <c r="E549" s="69" t="s">
        <v>641</v>
      </c>
      <c r="F549" s="73">
        <v>842</v>
      </c>
      <c r="G549" s="69" t="s">
        <v>636</v>
      </c>
    </row>
    <row r="550" spans="3:7" ht="15.75" customHeight="1" x14ac:dyDescent="0.2">
      <c r="C550" s="69" t="s">
        <v>636</v>
      </c>
      <c r="D550" s="73">
        <v>830</v>
      </c>
      <c r="E550" s="69" t="s">
        <v>300</v>
      </c>
      <c r="F550" s="73">
        <v>830</v>
      </c>
      <c r="G550" s="69" t="s">
        <v>636</v>
      </c>
    </row>
    <row r="551" spans="3:7" ht="15.75" customHeight="1" x14ac:dyDescent="0.2">
      <c r="C551" s="69" t="s">
        <v>636</v>
      </c>
      <c r="D551" s="73">
        <v>840</v>
      </c>
      <c r="E551" s="69" t="s">
        <v>311</v>
      </c>
      <c r="F551" s="73">
        <v>840</v>
      </c>
      <c r="G551" s="69" t="s">
        <v>636</v>
      </c>
    </row>
    <row r="552" spans="3:7" ht="15.75" customHeight="1" x14ac:dyDescent="0.2">
      <c r="C552" s="69" t="s">
        <v>636</v>
      </c>
      <c r="D552" s="73">
        <v>831</v>
      </c>
      <c r="E552" s="69" t="s">
        <v>308</v>
      </c>
      <c r="F552" s="73">
        <v>831</v>
      </c>
      <c r="G552" s="69" t="s">
        <v>636</v>
      </c>
    </row>
    <row r="553" spans="3:7" ht="15.75" customHeight="1" x14ac:dyDescent="0.2">
      <c r="C553" s="69" t="s">
        <v>636</v>
      </c>
      <c r="D553" s="73">
        <v>820</v>
      </c>
      <c r="E553" s="69" t="s">
        <v>294</v>
      </c>
      <c r="F553" s="73">
        <v>820</v>
      </c>
      <c r="G553" s="69" t="s">
        <v>636</v>
      </c>
    </row>
    <row r="554" spans="3:7" ht="15.75" customHeight="1" x14ac:dyDescent="0.2">
      <c r="C554" s="69" t="s">
        <v>636</v>
      </c>
      <c r="D554" s="73">
        <v>822</v>
      </c>
      <c r="E554" s="69" t="s">
        <v>73</v>
      </c>
      <c r="F554" s="73">
        <v>822</v>
      </c>
      <c r="G554" s="69" t="s">
        <v>636</v>
      </c>
    </row>
    <row r="555" spans="3:7" ht="15.75" customHeight="1" x14ac:dyDescent="0.2">
      <c r="C555" s="69" t="s">
        <v>636</v>
      </c>
      <c r="D555" s="73">
        <v>850</v>
      </c>
      <c r="E555" s="69" t="s">
        <v>315</v>
      </c>
      <c r="F555" s="73">
        <v>850</v>
      </c>
      <c r="G555" s="69" t="s">
        <v>636</v>
      </c>
    </row>
    <row r="556" spans="3:7" ht="15.75" customHeight="1" x14ac:dyDescent="0.2">
      <c r="C556" s="69" t="s">
        <v>636</v>
      </c>
      <c r="D556" s="73">
        <v>870</v>
      </c>
      <c r="E556" s="69" t="s">
        <v>321</v>
      </c>
      <c r="F556" s="73">
        <v>870</v>
      </c>
      <c r="G556" s="69" t="s">
        <v>636</v>
      </c>
    </row>
    <row r="557" spans="3:7" ht="15.75" customHeight="1" x14ac:dyDescent="0.2">
      <c r="C557" s="69" t="s">
        <v>636</v>
      </c>
      <c r="D557" s="73">
        <v>852</v>
      </c>
      <c r="E557" s="69" t="s">
        <v>68</v>
      </c>
      <c r="F557" s="73">
        <v>852</v>
      </c>
      <c r="G557" s="69" t="s">
        <v>636</v>
      </c>
    </row>
    <row r="558" spans="3:7" ht="15.75" customHeight="1" x14ac:dyDescent="0.2">
      <c r="C558" s="69" t="s">
        <v>636</v>
      </c>
      <c r="D558" s="73">
        <v>851</v>
      </c>
      <c r="E558" s="69" t="s">
        <v>340</v>
      </c>
      <c r="F558" s="73">
        <v>851</v>
      </c>
      <c r="G558" s="69" t="s">
        <v>636</v>
      </c>
    </row>
    <row r="559" spans="3:7" ht="15.75" customHeight="1" x14ac:dyDescent="0.2">
      <c r="C559" s="69" t="s">
        <v>636</v>
      </c>
      <c r="D559" s="73">
        <v>404</v>
      </c>
      <c r="E559" s="69" t="s">
        <v>658</v>
      </c>
      <c r="F559" s="73">
        <v>404</v>
      </c>
      <c r="G559" s="69" t="s">
        <v>636</v>
      </c>
    </row>
    <row r="560" spans="3:7" ht="15.75" customHeight="1" x14ac:dyDescent="0.2">
      <c r="C560" s="69" t="s">
        <v>636</v>
      </c>
      <c r="D560" s="73">
        <v>863</v>
      </c>
      <c r="E560" s="69" t="s">
        <v>663</v>
      </c>
      <c r="F560" s="73">
        <v>863</v>
      </c>
      <c r="G560" s="69" t="s">
        <v>636</v>
      </c>
    </row>
    <row r="561" spans="3:7" ht="15.75" customHeight="1" x14ac:dyDescent="0.2">
      <c r="C561" s="69" t="s">
        <v>636</v>
      </c>
      <c r="D561" s="73">
        <v>862</v>
      </c>
      <c r="E561" s="69" t="s">
        <v>330</v>
      </c>
      <c r="F561" s="73">
        <v>862</v>
      </c>
      <c r="G561" s="69" t="s">
        <v>636</v>
      </c>
    </row>
    <row r="562" spans="3:7" ht="15.75" customHeight="1" x14ac:dyDescent="0.2">
      <c r="C562" s="69" t="s">
        <v>636</v>
      </c>
      <c r="D562" s="73">
        <v>860</v>
      </c>
      <c r="E562" s="69" t="s">
        <v>327</v>
      </c>
      <c r="F562" s="73">
        <v>860</v>
      </c>
      <c r="G562" s="69" t="s">
        <v>636</v>
      </c>
    </row>
    <row r="563" spans="3:7" ht="15.75" customHeight="1" x14ac:dyDescent="0.2">
      <c r="C563" s="69" t="s">
        <v>636</v>
      </c>
      <c r="D563" s="73">
        <v>823</v>
      </c>
      <c r="E563" s="69" t="s">
        <v>87</v>
      </c>
      <c r="F563" s="73">
        <v>823</v>
      </c>
      <c r="G563" s="69" t="s">
        <v>636</v>
      </c>
    </row>
    <row r="564" spans="3:7" ht="15.75" customHeight="1" x14ac:dyDescent="0.25">
      <c r="C564" s="29"/>
      <c r="D564" s="74"/>
      <c r="E564" s="29"/>
      <c r="F564" s="29"/>
      <c r="G564" s="37"/>
    </row>
    <row r="565" spans="3:7" ht="15.75" customHeight="1" x14ac:dyDescent="0.25">
      <c r="C565" s="75"/>
      <c r="D565" s="76"/>
      <c r="E565" s="29"/>
      <c r="F565" s="29"/>
      <c r="G565" s="37"/>
    </row>
    <row r="566" spans="3:7" ht="15.75" customHeight="1" x14ac:dyDescent="0.25">
      <c r="C566" s="29"/>
      <c r="D566" s="76"/>
      <c r="E566" s="29"/>
      <c r="F566" s="29"/>
      <c r="G566" s="77"/>
    </row>
    <row r="567" spans="3:7" ht="15.75" customHeight="1" x14ac:dyDescent="0.2">
      <c r="C567" s="78" t="s">
        <v>541</v>
      </c>
      <c r="D567" s="78">
        <v>610</v>
      </c>
      <c r="E567" s="78" t="s">
        <v>531</v>
      </c>
      <c r="F567" s="78">
        <v>610</v>
      </c>
      <c r="G567" s="79" t="s">
        <v>541</v>
      </c>
    </row>
    <row r="568" spans="3:7" ht="15.75" customHeight="1" x14ac:dyDescent="0.2">
      <c r="C568" s="78" t="s">
        <v>602</v>
      </c>
      <c r="D568" s="78">
        <v>170</v>
      </c>
      <c r="E568" s="78" t="s">
        <v>552</v>
      </c>
      <c r="F568" s="78">
        <v>170</v>
      </c>
      <c r="G568" s="79" t="s">
        <v>602</v>
      </c>
    </row>
    <row r="569" spans="3:7" ht="15.75" customHeight="1" x14ac:dyDescent="0.2">
      <c r="C569" s="78" t="s">
        <v>499</v>
      </c>
      <c r="D569" s="78">
        <v>700</v>
      </c>
      <c r="E569" s="78" t="s">
        <v>343</v>
      </c>
      <c r="F569" s="78">
        <v>700</v>
      </c>
      <c r="G569" s="79" t="s">
        <v>499</v>
      </c>
    </row>
    <row r="570" spans="3:7" ht="15.75" customHeight="1" x14ac:dyDescent="0.2">
      <c r="C570" s="78" t="s">
        <v>499</v>
      </c>
      <c r="D570" s="78">
        <v>710</v>
      </c>
      <c r="E570" s="78" t="s">
        <v>353</v>
      </c>
      <c r="F570" s="78">
        <v>710</v>
      </c>
      <c r="G570" s="79" t="s">
        <v>499</v>
      </c>
    </row>
    <row r="571" spans="3:7" ht="15.75" customHeight="1" x14ac:dyDescent="0.2">
      <c r="C571" s="78" t="s">
        <v>602</v>
      </c>
      <c r="D571" s="78">
        <v>755</v>
      </c>
      <c r="E571" s="78" t="s">
        <v>565</v>
      </c>
      <c r="F571" s="78">
        <v>755</v>
      </c>
      <c r="G571" s="79" t="s">
        <v>602</v>
      </c>
    </row>
    <row r="572" spans="3:7" ht="15.75" customHeight="1" x14ac:dyDescent="0.2">
      <c r="C572" s="78" t="s">
        <v>263</v>
      </c>
      <c r="D572" s="78">
        <v>110</v>
      </c>
      <c r="E572" s="78" t="s">
        <v>265</v>
      </c>
      <c r="F572" s="78">
        <v>110</v>
      </c>
      <c r="G572" s="79" t="s">
        <v>263</v>
      </c>
    </row>
    <row r="573" spans="3:7" ht="15.75" customHeight="1" x14ac:dyDescent="0.2">
      <c r="C573" s="78" t="s">
        <v>263</v>
      </c>
      <c r="D573" s="78">
        <v>130</v>
      </c>
      <c r="E573" s="78" t="s">
        <v>267</v>
      </c>
      <c r="F573" s="78">
        <v>130</v>
      </c>
      <c r="G573" s="79" t="s">
        <v>263</v>
      </c>
    </row>
    <row r="574" spans="3:7" ht="15.75" customHeight="1" x14ac:dyDescent="0.2">
      <c r="C574" s="78" t="s">
        <v>263</v>
      </c>
      <c r="D574" s="78">
        <v>140</v>
      </c>
      <c r="E574" s="78" t="s">
        <v>270</v>
      </c>
      <c r="F574" s="78">
        <v>140</v>
      </c>
      <c r="G574" s="79" t="s">
        <v>263</v>
      </c>
    </row>
    <row r="575" spans="3:7" ht="15.75" customHeight="1" x14ac:dyDescent="0.2">
      <c r="C575" s="78" t="s">
        <v>263</v>
      </c>
      <c r="D575" s="78">
        <v>150</v>
      </c>
      <c r="E575" s="78" t="s">
        <v>272</v>
      </c>
      <c r="F575" s="78">
        <v>150</v>
      </c>
      <c r="G575" s="79" t="s">
        <v>263</v>
      </c>
    </row>
    <row r="576" spans="3:7" ht="15.75" customHeight="1" x14ac:dyDescent="0.2">
      <c r="C576" s="78" t="s">
        <v>263</v>
      </c>
      <c r="D576" s="78">
        <v>142</v>
      </c>
      <c r="E576" s="78" t="s">
        <v>274</v>
      </c>
      <c r="F576" s="78">
        <v>142</v>
      </c>
      <c r="G576" s="79" t="s">
        <v>263</v>
      </c>
    </row>
    <row r="577" spans="3:7" ht="15.75" customHeight="1" x14ac:dyDescent="0.25">
      <c r="C577" s="80" t="s">
        <v>145</v>
      </c>
      <c r="D577" s="80">
        <v>395</v>
      </c>
      <c r="E577" s="80" t="s">
        <v>188</v>
      </c>
      <c r="F577" s="80">
        <v>395</v>
      </c>
      <c r="G577" s="79" t="s">
        <v>145</v>
      </c>
    </row>
    <row r="578" spans="3:7" ht="15.75" customHeight="1" x14ac:dyDescent="0.2">
      <c r="C578" s="78" t="s">
        <v>460</v>
      </c>
      <c r="D578" s="78">
        <v>240</v>
      </c>
      <c r="E578" s="78" t="s">
        <v>464</v>
      </c>
      <c r="F578" s="78">
        <v>240</v>
      </c>
      <c r="G578" s="79" t="s">
        <v>460</v>
      </c>
    </row>
    <row r="579" spans="3:7" ht="15.75" customHeight="1" x14ac:dyDescent="0.2">
      <c r="C579" s="78" t="s">
        <v>390</v>
      </c>
      <c r="D579" s="78">
        <v>210</v>
      </c>
      <c r="E579" s="78" t="s">
        <v>389</v>
      </c>
      <c r="F579" s="78">
        <v>210</v>
      </c>
      <c r="G579" s="79" t="s">
        <v>390</v>
      </c>
    </row>
    <row r="580" spans="3:7" ht="15.75" customHeight="1" x14ac:dyDescent="0.2">
      <c r="C580" s="78" t="s">
        <v>390</v>
      </c>
      <c r="D580" s="78">
        <v>244</v>
      </c>
      <c r="E580" s="78" t="s">
        <v>398</v>
      </c>
      <c r="F580" s="78">
        <v>244</v>
      </c>
      <c r="G580" s="79" t="s">
        <v>390</v>
      </c>
    </row>
    <row r="581" spans="3:7" ht="15.75" customHeight="1" x14ac:dyDescent="0.2">
      <c r="C581" s="78" t="s">
        <v>460</v>
      </c>
      <c r="D581" s="78">
        <v>220</v>
      </c>
      <c r="E581" s="78" t="s">
        <v>459</v>
      </c>
      <c r="F581" s="78">
        <v>220</v>
      </c>
      <c r="G581" s="79" t="s">
        <v>460</v>
      </c>
    </row>
    <row r="582" spans="3:7" ht="15.75" customHeight="1" x14ac:dyDescent="0.2">
      <c r="C582" s="78" t="s">
        <v>390</v>
      </c>
      <c r="D582" s="78">
        <v>230</v>
      </c>
      <c r="E582" s="78" t="s">
        <v>394</v>
      </c>
      <c r="F582" s="78">
        <v>230</v>
      </c>
      <c r="G582" s="79" t="s">
        <v>390</v>
      </c>
    </row>
    <row r="583" spans="3:7" ht="15.75" customHeight="1" x14ac:dyDescent="0.2">
      <c r="C583" s="78" t="s">
        <v>460</v>
      </c>
      <c r="D583" s="78">
        <v>225</v>
      </c>
      <c r="E583" s="78" t="s">
        <v>468</v>
      </c>
      <c r="F583" s="78">
        <v>225</v>
      </c>
      <c r="G583" s="79" t="s">
        <v>460</v>
      </c>
    </row>
    <row r="584" spans="3:7" ht="15.75" customHeight="1" x14ac:dyDescent="0.2">
      <c r="C584" s="78" t="s">
        <v>349</v>
      </c>
      <c r="D584" s="78">
        <v>452</v>
      </c>
      <c r="E584" s="78" t="s">
        <v>352</v>
      </c>
      <c r="F584" s="78">
        <v>452</v>
      </c>
      <c r="G584" s="79" t="s">
        <v>349</v>
      </c>
    </row>
    <row r="585" spans="3:7" ht="15.75" customHeight="1" x14ac:dyDescent="0.2">
      <c r="C585" s="78" t="s">
        <v>602</v>
      </c>
      <c r="D585" s="78">
        <v>750</v>
      </c>
      <c r="E585" s="78" t="s">
        <v>605</v>
      </c>
      <c r="F585" s="78">
        <v>750</v>
      </c>
      <c r="G585" s="79" t="s">
        <v>602</v>
      </c>
    </row>
    <row r="586" spans="3:7" ht="15.75" customHeight="1" x14ac:dyDescent="0.2">
      <c r="C586" s="78" t="s">
        <v>636</v>
      </c>
      <c r="D586" s="78">
        <v>861</v>
      </c>
      <c r="E586" s="78" t="s">
        <v>336</v>
      </c>
      <c r="F586" s="78">
        <v>861</v>
      </c>
      <c r="G586" s="79" t="s">
        <v>636</v>
      </c>
    </row>
    <row r="587" spans="3:7" ht="15.75" customHeight="1" x14ac:dyDescent="0.2">
      <c r="C587" s="78" t="s">
        <v>636</v>
      </c>
      <c r="D587" s="78">
        <v>841</v>
      </c>
      <c r="E587" s="78" t="s">
        <v>304</v>
      </c>
      <c r="F587" s="78">
        <v>841</v>
      </c>
      <c r="G587" s="79" t="s">
        <v>636</v>
      </c>
    </row>
    <row r="588" spans="3:7" ht="15.75" customHeight="1" x14ac:dyDescent="0.2">
      <c r="C588" s="78" t="s">
        <v>636</v>
      </c>
      <c r="D588" s="78">
        <v>823</v>
      </c>
      <c r="E588" s="78" t="s">
        <v>87</v>
      </c>
      <c r="F588" s="78">
        <v>823</v>
      </c>
      <c r="G588" s="79" t="s">
        <v>636</v>
      </c>
    </row>
    <row r="589" spans="3:7" ht="15.75" customHeight="1" x14ac:dyDescent="0.2">
      <c r="C589" s="78" t="s">
        <v>636</v>
      </c>
      <c r="D589" s="78">
        <v>842</v>
      </c>
      <c r="E589" s="78" t="s">
        <v>641</v>
      </c>
      <c r="F589" s="78">
        <v>842</v>
      </c>
      <c r="G589" s="79" t="s">
        <v>636</v>
      </c>
    </row>
    <row r="590" spans="3:7" ht="15.75" customHeight="1" x14ac:dyDescent="0.2">
      <c r="C590" s="78" t="s">
        <v>636</v>
      </c>
      <c r="D590" s="78">
        <v>830</v>
      </c>
      <c r="E590" s="78" t="s">
        <v>300</v>
      </c>
      <c r="F590" s="78">
        <v>830</v>
      </c>
      <c r="G590" s="79" t="s">
        <v>636</v>
      </c>
    </row>
    <row r="591" spans="3:7" ht="15.75" customHeight="1" x14ac:dyDescent="0.2">
      <c r="C591" s="78" t="s">
        <v>636</v>
      </c>
      <c r="D591" s="78">
        <v>840</v>
      </c>
      <c r="E591" s="78" t="s">
        <v>311</v>
      </c>
      <c r="F591" s="78">
        <v>840</v>
      </c>
      <c r="G591" s="79" t="s">
        <v>636</v>
      </c>
    </row>
    <row r="592" spans="3:7" ht="15.75" customHeight="1" x14ac:dyDescent="0.2">
      <c r="C592" s="78" t="s">
        <v>636</v>
      </c>
      <c r="D592" s="78">
        <v>831</v>
      </c>
      <c r="E592" s="78" t="s">
        <v>308</v>
      </c>
      <c r="F592" s="78">
        <v>831</v>
      </c>
      <c r="G592" s="79" t="s">
        <v>636</v>
      </c>
    </row>
    <row r="593" spans="3:7" ht="15.75" customHeight="1" x14ac:dyDescent="0.2">
      <c r="C593" s="78" t="s">
        <v>636</v>
      </c>
      <c r="D593" s="78">
        <v>820</v>
      </c>
      <c r="E593" s="78" t="s">
        <v>294</v>
      </c>
      <c r="F593" s="78">
        <v>820</v>
      </c>
      <c r="G593" s="79" t="s">
        <v>636</v>
      </c>
    </row>
    <row r="594" spans="3:7" ht="15.75" customHeight="1" x14ac:dyDescent="0.2">
      <c r="C594" s="78" t="s">
        <v>636</v>
      </c>
      <c r="D594" s="78">
        <v>822</v>
      </c>
      <c r="E594" s="78" t="s">
        <v>73</v>
      </c>
      <c r="F594" s="78">
        <v>822</v>
      </c>
      <c r="G594" s="79" t="s">
        <v>636</v>
      </c>
    </row>
    <row r="595" spans="3:7" ht="15.75" customHeight="1" x14ac:dyDescent="0.2">
      <c r="C595" s="78" t="s">
        <v>307</v>
      </c>
      <c r="D595" s="78">
        <v>753</v>
      </c>
      <c r="E595" s="78" t="s">
        <v>306</v>
      </c>
      <c r="F595" s="78">
        <v>753</v>
      </c>
      <c r="G595" s="79" t="s">
        <v>307</v>
      </c>
    </row>
    <row r="596" spans="3:7" ht="15.75" customHeight="1" x14ac:dyDescent="0.2">
      <c r="C596" s="78" t="s">
        <v>263</v>
      </c>
      <c r="D596" s="78">
        <v>291</v>
      </c>
      <c r="E596" s="78" t="s">
        <v>277</v>
      </c>
      <c r="F596" s="78">
        <v>291</v>
      </c>
      <c r="G596" s="79" t="s">
        <v>263</v>
      </c>
    </row>
    <row r="597" spans="3:7" ht="15.75" customHeight="1" x14ac:dyDescent="0.2">
      <c r="C597" s="78" t="s">
        <v>263</v>
      </c>
      <c r="D597" s="78">
        <v>300</v>
      </c>
      <c r="E597" s="78" t="s">
        <v>279</v>
      </c>
      <c r="F597" s="78">
        <v>300</v>
      </c>
      <c r="G597" s="79" t="s">
        <v>263</v>
      </c>
    </row>
    <row r="598" spans="3:7" ht="15.75" customHeight="1" x14ac:dyDescent="0.2">
      <c r="C598" s="78" t="s">
        <v>263</v>
      </c>
      <c r="D598" s="78">
        <v>290</v>
      </c>
      <c r="E598" s="78" t="s">
        <v>262</v>
      </c>
      <c r="F598" s="78">
        <v>290</v>
      </c>
      <c r="G598" s="79" t="s">
        <v>263</v>
      </c>
    </row>
    <row r="599" spans="3:7" ht="15.75" customHeight="1" x14ac:dyDescent="0.2">
      <c r="C599" s="78" t="s">
        <v>499</v>
      </c>
      <c r="D599" s="78">
        <v>731</v>
      </c>
      <c r="E599" s="78" t="s">
        <v>375</v>
      </c>
      <c r="F599" s="78">
        <v>731</v>
      </c>
      <c r="G599" s="79" t="s">
        <v>499</v>
      </c>
    </row>
    <row r="600" spans="3:7" ht="15.75" customHeight="1" x14ac:dyDescent="0.2">
      <c r="C600" s="78" t="s">
        <v>307</v>
      </c>
      <c r="D600" s="78">
        <v>482</v>
      </c>
      <c r="E600" s="78" t="s">
        <v>78</v>
      </c>
      <c r="F600" s="78">
        <v>482</v>
      </c>
      <c r="G600" s="79" t="s">
        <v>307</v>
      </c>
    </row>
    <row r="601" spans="3:7" ht="15.75" customHeight="1" x14ac:dyDescent="0.2">
      <c r="C601" s="78" t="s">
        <v>613</v>
      </c>
      <c r="D601" s="78">
        <v>801</v>
      </c>
      <c r="E601" s="78" t="s">
        <v>626</v>
      </c>
      <c r="F601" s="78">
        <v>801</v>
      </c>
      <c r="G601" s="79" t="s">
        <v>613</v>
      </c>
    </row>
    <row r="602" spans="3:7" ht="15.75" customHeight="1" x14ac:dyDescent="0.2">
      <c r="C602" s="78" t="s">
        <v>390</v>
      </c>
      <c r="D602" s="78">
        <v>255</v>
      </c>
      <c r="E602" s="78" t="s">
        <v>400</v>
      </c>
      <c r="F602" s="78">
        <v>255</v>
      </c>
      <c r="G602" s="79" t="s">
        <v>390</v>
      </c>
    </row>
    <row r="603" spans="3:7" ht="15.75" customHeight="1" x14ac:dyDescent="0.2">
      <c r="C603" s="78" t="s">
        <v>390</v>
      </c>
      <c r="D603" s="78">
        <v>634</v>
      </c>
      <c r="E603" s="78" t="s">
        <v>404</v>
      </c>
      <c r="F603" s="78">
        <v>634</v>
      </c>
      <c r="G603" s="79" t="s">
        <v>390</v>
      </c>
    </row>
    <row r="604" spans="3:7" ht="15.75" customHeight="1" x14ac:dyDescent="0.2">
      <c r="C604" s="78" t="s">
        <v>349</v>
      </c>
      <c r="D604" s="78">
        <v>592</v>
      </c>
      <c r="E604" s="78" t="s">
        <v>355</v>
      </c>
      <c r="F604" s="78">
        <v>592</v>
      </c>
      <c r="G604" s="79" t="s">
        <v>349</v>
      </c>
    </row>
    <row r="605" spans="3:7" ht="15.75" customHeight="1" x14ac:dyDescent="0.2">
      <c r="C605" s="78" t="s">
        <v>460</v>
      </c>
      <c r="D605" s="78">
        <v>242</v>
      </c>
      <c r="E605" s="78" t="s">
        <v>471</v>
      </c>
      <c r="F605" s="78">
        <v>242</v>
      </c>
      <c r="G605" s="79" t="s">
        <v>460</v>
      </c>
    </row>
    <row r="606" spans="3:7" ht="15.75" customHeight="1" x14ac:dyDescent="0.2">
      <c r="C606" s="78" t="s">
        <v>307</v>
      </c>
      <c r="D606" s="78">
        <v>920</v>
      </c>
      <c r="E606" s="78" t="s">
        <v>313</v>
      </c>
      <c r="F606" s="78">
        <v>920</v>
      </c>
      <c r="G606" s="79" t="s">
        <v>307</v>
      </c>
    </row>
    <row r="607" spans="3:7" ht="15.75" customHeight="1" x14ac:dyDescent="0.2">
      <c r="C607" s="78" t="s">
        <v>679</v>
      </c>
      <c r="D607" s="78">
        <v>671</v>
      </c>
      <c r="E607" s="78" t="s">
        <v>578</v>
      </c>
      <c r="F607" s="78">
        <v>671</v>
      </c>
      <c r="G607" s="79" t="s">
        <v>679</v>
      </c>
    </row>
    <row r="608" spans="3:7" ht="15.75" customHeight="1" x14ac:dyDescent="0.2">
      <c r="C608" s="78" t="s">
        <v>499</v>
      </c>
      <c r="D608" s="78">
        <v>736</v>
      </c>
      <c r="E608" s="78" t="s">
        <v>379</v>
      </c>
      <c r="F608" s="78">
        <v>736</v>
      </c>
      <c r="G608" s="79" t="s">
        <v>499</v>
      </c>
    </row>
    <row r="609" spans="3:7" ht="15.75" customHeight="1" x14ac:dyDescent="0.2">
      <c r="C609" s="78" t="s">
        <v>390</v>
      </c>
      <c r="D609" s="78">
        <v>638</v>
      </c>
      <c r="E609" s="78" t="s">
        <v>408</v>
      </c>
      <c r="F609" s="78">
        <v>638</v>
      </c>
      <c r="G609" s="79" t="s">
        <v>390</v>
      </c>
    </row>
    <row r="610" spans="3:7" ht="15.75" customHeight="1" x14ac:dyDescent="0.25">
      <c r="C610" s="80" t="s">
        <v>145</v>
      </c>
      <c r="D610" s="79">
        <v>381</v>
      </c>
      <c r="E610" s="80" t="s">
        <v>164</v>
      </c>
      <c r="F610" s="80">
        <v>381</v>
      </c>
      <c r="G610" s="79" t="s">
        <v>145</v>
      </c>
    </row>
    <row r="611" spans="3:7" ht="15.75" customHeight="1" x14ac:dyDescent="0.2">
      <c r="C611" s="78" t="s">
        <v>613</v>
      </c>
      <c r="D611" s="78">
        <v>802</v>
      </c>
      <c r="E611" s="78" t="s">
        <v>681</v>
      </c>
      <c r="F611" s="78">
        <v>802</v>
      </c>
      <c r="G611" s="79" t="s">
        <v>613</v>
      </c>
    </row>
    <row r="612" spans="3:7" ht="15.75" customHeight="1" x14ac:dyDescent="0.2">
      <c r="C612" s="78" t="s">
        <v>613</v>
      </c>
      <c r="D612" s="78">
        <v>811</v>
      </c>
      <c r="E612" s="78" t="s">
        <v>99</v>
      </c>
      <c r="F612" s="78">
        <v>811</v>
      </c>
      <c r="G612" s="79" t="s">
        <v>613</v>
      </c>
    </row>
    <row r="613" spans="3:7" ht="15.75" customHeight="1" x14ac:dyDescent="0.2">
      <c r="C613" s="78" t="s">
        <v>390</v>
      </c>
      <c r="D613" s="78">
        <v>232</v>
      </c>
      <c r="E613" s="78" t="s">
        <v>412</v>
      </c>
      <c r="F613" s="78">
        <v>232</v>
      </c>
      <c r="G613" s="79" t="s">
        <v>390</v>
      </c>
    </row>
    <row r="614" spans="3:7" ht="15.75" customHeight="1" x14ac:dyDescent="0.2">
      <c r="C614" s="78" t="s">
        <v>516</v>
      </c>
      <c r="D614" s="78">
        <v>330</v>
      </c>
      <c r="E614" s="78" t="s">
        <v>387</v>
      </c>
      <c r="F614" s="78">
        <v>330</v>
      </c>
      <c r="G614" s="79" t="s">
        <v>516</v>
      </c>
    </row>
    <row r="615" spans="3:7" ht="15.75" customHeight="1" x14ac:dyDescent="0.2">
      <c r="C615" s="78" t="s">
        <v>636</v>
      </c>
      <c r="D615" s="78">
        <v>404</v>
      </c>
      <c r="E615" s="78" t="s">
        <v>658</v>
      </c>
      <c r="F615" s="78">
        <v>404</v>
      </c>
      <c r="G615" s="79" t="s">
        <v>636</v>
      </c>
    </row>
    <row r="616" spans="3:7" ht="15.75" customHeight="1" x14ac:dyDescent="0.2">
      <c r="C616" s="78" t="s">
        <v>602</v>
      </c>
      <c r="D616" s="78">
        <v>760</v>
      </c>
      <c r="E616" s="78" t="s">
        <v>562</v>
      </c>
      <c r="F616" s="78">
        <v>760</v>
      </c>
      <c r="G616" s="79" t="s">
        <v>602</v>
      </c>
    </row>
    <row r="617" spans="3:7" ht="15.75" customHeight="1" x14ac:dyDescent="0.2">
      <c r="C617" s="78" t="s">
        <v>613</v>
      </c>
      <c r="D617" s="78">
        <v>223</v>
      </c>
      <c r="E617" s="78" t="s">
        <v>486</v>
      </c>
      <c r="F617" s="78">
        <v>223</v>
      </c>
      <c r="G617" s="79" t="s">
        <v>613</v>
      </c>
    </row>
    <row r="618" spans="3:7" ht="15.75" customHeight="1" x14ac:dyDescent="0.2">
      <c r="C618" s="78" t="s">
        <v>516</v>
      </c>
      <c r="D618" s="78">
        <v>511</v>
      </c>
      <c r="E618" s="78" t="s">
        <v>414</v>
      </c>
      <c r="F618" s="78">
        <v>511</v>
      </c>
      <c r="G618" s="79" t="s">
        <v>516</v>
      </c>
    </row>
    <row r="619" spans="3:7" ht="15.75" customHeight="1" x14ac:dyDescent="0.2">
      <c r="C619" s="78" t="s">
        <v>613</v>
      </c>
      <c r="D619" s="78">
        <v>812</v>
      </c>
      <c r="E619" s="78" t="s">
        <v>480</v>
      </c>
      <c r="F619" s="78">
        <v>812</v>
      </c>
      <c r="G619" s="79" t="s">
        <v>613</v>
      </c>
    </row>
    <row r="620" spans="3:7" ht="15.75" customHeight="1" x14ac:dyDescent="0.2">
      <c r="C620" s="78" t="s">
        <v>602</v>
      </c>
      <c r="D620" s="78">
        <v>758</v>
      </c>
      <c r="E620" s="78" t="s">
        <v>560</v>
      </c>
      <c r="F620" s="78">
        <v>758</v>
      </c>
      <c r="G620" s="79" t="s">
        <v>602</v>
      </c>
    </row>
    <row r="621" spans="3:7" ht="15.75" customHeight="1" x14ac:dyDescent="0.2">
      <c r="C621" s="78" t="s">
        <v>541</v>
      </c>
      <c r="D621" s="78">
        <v>611</v>
      </c>
      <c r="E621" s="78" t="s">
        <v>38</v>
      </c>
      <c r="F621" s="78">
        <v>611</v>
      </c>
      <c r="G621" s="79" t="s">
        <v>541</v>
      </c>
    </row>
    <row r="622" spans="3:7" ht="15.75" customHeight="1" x14ac:dyDescent="0.2">
      <c r="C622" s="78" t="s">
        <v>541</v>
      </c>
      <c r="D622" s="78">
        <v>612</v>
      </c>
      <c r="E622" s="78" t="s">
        <v>533</v>
      </c>
      <c r="F622" s="78">
        <v>612</v>
      </c>
      <c r="G622" s="79" t="s">
        <v>541</v>
      </c>
    </row>
    <row r="623" spans="3:7" ht="15.75" customHeight="1" x14ac:dyDescent="0.2">
      <c r="C623" s="78" t="s">
        <v>613</v>
      </c>
      <c r="D623" s="78">
        <v>790</v>
      </c>
      <c r="E623" s="78" t="s">
        <v>59</v>
      </c>
      <c r="F623" s="78">
        <v>790</v>
      </c>
      <c r="G623" s="79" t="s">
        <v>613</v>
      </c>
    </row>
    <row r="624" spans="3:7" ht="15.75" customHeight="1" x14ac:dyDescent="0.2">
      <c r="C624" s="78" t="s">
        <v>613</v>
      </c>
      <c r="D624" s="78">
        <v>800</v>
      </c>
      <c r="E624" s="78" t="s">
        <v>445</v>
      </c>
      <c r="F624" s="78">
        <v>800</v>
      </c>
      <c r="G624" s="79" t="s">
        <v>613</v>
      </c>
    </row>
    <row r="625" spans="3:7" ht="15.75" customHeight="1" x14ac:dyDescent="0.2">
      <c r="C625" s="78" t="s">
        <v>613</v>
      </c>
      <c r="D625" s="78">
        <v>810</v>
      </c>
      <c r="E625" s="78" t="s">
        <v>453</v>
      </c>
      <c r="F625" s="78">
        <v>810</v>
      </c>
      <c r="G625" s="79" t="s">
        <v>613</v>
      </c>
    </row>
    <row r="626" spans="3:7" ht="15.75" customHeight="1" x14ac:dyDescent="0.2">
      <c r="C626" s="78" t="s">
        <v>679</v>
      </c>
      <c r="D626" s="78">
        <v>670</v>
      </c>
      <c r="E626" s="78" t="s">
        <v>240</v>
      </c>
      <c r="F626" s="78">
        <v>670</v>
      </c>
      <c r="G626" s="79" t="s">
        <v>679</v>
      </c>
    </row>
    <row r="627" spans="3:7" ht="15.75" customHeight="1" x14ac:dyDescent="0.2">
      <c r="C627" s="78" t="s">
        <v>679</v>
      </c>
      <c r="D627" s="78">
        <v>931</v>
      </c>
      <c r="E627" s="78" t="s">
        <v>593</v>
      </c>
      <c r="F627" s="78">
        <v>931</v>
      </c>
      <c r="G627" s="79" t="s">
        <v>679</v>
      </c>
    </row>
    <row r="628" spans="3:7" ht="15.75" customHeight="1" x14ac:dyDescent="0.2">
      <c r="C628" s="78" t="s">
        <v>679</v>
      </c>
      <c r="D628" s="78">
        <v>930</v>
      </c>
      <c r="E628" s="78" t="s">
        <v>249</v>
      </c>
      <c r="F628" s="78">
        <v>930</v>
      </c>
      <c r="G628" s="79" t="s">
        <v>679</v>
      </c>
    </row>
    <row r="629" spans="3:7" ht="15.75" customHeight="1" x14ac:dyDescent="0.2">
      <c r="C629" s="78" t="s">
        <v>636</v>
      </c>
      <c r="D629" s="78">
        <v>401</v>
      </c>
      <c r="E629" s="78" t="s">
        <v>291</v>
      </c>
      <c r="F629" s="78">
        <v>401</v>
      </c>
      <c r="G629" s="79" t="s">
        <v>636</v>
      </c>
    </row>
    <row r="630" spans="3:7" ht="15.75" customHeight="1" x14ac:dyDescent="0.2">
      <c r="C630" s="78" t="s">
        <v>613</v>
      </c>
      <c r="D630" s="78">
        <v>792</v>
      </c>
      <c r="E630" s="78" t="s">
        <v>462</v>
      </c>
      <c r="F630" s="78">
        <v>792</v>
      </c>
      <c r="G630" s="79" t="s">
        <v>613</v>
      </c>
    </row>
    <row r="631" spans="3:7" ht="15.75" customHeight="1" x14ac:dyDescent="0.2">
      <c r="C631" s="78" t="s">
        <v>613</v>
      </c>
      <c r="D631" s="78">
        <v>250</v>
      </c>
      <c r="E631" s="78" t="s">
        <v>489</v>
      </c>
      <c r="F631" s="78">
        <v>250</v>
      </c>
      <c r="G631" s="79" t="s">
        <v>613</v>
      </c>
    </row>
    <row r="632" spans="3:7" ht="15.75" customHeight="1" x14ac:dyDescent="0.2">
      <c r="C632" s="78" t="s">
        <v>677</v>
      </c>
      <c r="D632" s="78">
        <v>641</v>
      </c>
      <c r="E632" s="78" t="s">
        <v>570</v>
      </c>
      <c r="F632" s="78">
        <v>641</v>
      </c>
      <c r="G632" s="79" t="s">
        <v>677</v>
      </c>
    </row>
    <row r="633" spans="3:7" ht="15.75" customHeight="1" x14ac:dyDescent="0.2">
      <c r="C633" s="78" t="s">
        <v>499</v>
      </c>
      <c r="D633" s="78">
        <v>732</v>
      </c>
      <c r="E633" s="78" t="s">
        <v>371</v>
      </c>
      <c r="F633" s="78">
        <v>732</v>
      </c>
      <c r="G633" s="79" t="s">
        <v>499</v>
      </c>
    </row>
    <row r="634" spans="3:7" ht="15.75" customHeight="1" x14ac:dyDescent="0.2">
      <c r="C634" s="78" t="s">
        <v>541</v>
      </c>
      <c r="D634" s="78">
        <v>613</v>
      </c>
      <c r="E634" s="78" t="s">
        <v>550</v>
      </c>
      <c r="F634" s="78">
        <v>613</v>
      </c>
      <c r="G634" s="79" t="s">
        <v>541</v>
      </c>
    </row>
    <row r="635" spans="3:7" ht="15.75" customHeight="1" x14ac:dyDescent="0.2">
      <c r="C635" s="78" t="s">
        <v>307</v>
      </c>
      <c r="D635" s="78">
        <v>481</v>
      </c>
      <c r="E635" s="78" t="s">
        <v>317</v>
      </c>
      <c r="F635" s="78">
        <v>481</v>
      </c>
      <c r="G635" s="79" t="s">
        <v>307</v>
      </c>
    </row>
    <row r="636" spans="3:7" ht="15.75" customHeight="1" x14ac:dyDescent="0.2">
      <c r="C636" s="78" t="s">
        <v>307</v>
      </c>
      <c r="D636" s="78">
        <v>772</v>
      </c>
      <c r="E636" s="78" t="s">
        <v>320</v>
      </c>
      <c r="F636" s="78">
        <v>772</v>
      </c>
      <c r="G636" s="79" t="s">
        <v>307</v>
      </c>
    </row>
    <row r="637" spans="3:7" ht="15.75" customHeight="1" x14ac:dyDescent="0.2">
      <c r="C637" s="78" t="s">
        <v>499</v>
      </c>
      <c r="D637" s="78">
        <v>734</v>
      </c>
      <c r="E637" s="78" t="s">
        <v>675</v>
      </c>
      <c r="F637" s="78">
        <v>734</v>
      </c>
      <c r="G637" s="79" t="s">
        <v>499</v>
      </c>
    </row>
    <row r="638" spans="3:7" ht="15.75" customHeight="1" x14ac:dyDescent="0.2">
      <c r="C638" s="78" t="s">
        <v>613</v>
      </c>
      <c r="D638" s="78">
        <v>791</v>
      </c>
      <c r="E638" s="78" t="s">
        <v>629</v>
      </c>
      <c r="F638" s="78">
        <v>791</v>
      </c>
      <c r="G638" s="79" t="s">
        <v>613</v>
      </c>
    </row>
    <row r="639" spans="3:7" ht="15.75" customHeight="1" x14ac:dyDescent="0.2">
      <c r="C639" s="78" t="s">
        <v>541</v>
      </c>
      <c r="D639" s="78">
        <v>620</v>
      </c>
      <c r="E639" s="78" t="s">
        <v>535</v>
      </c>
      <c r="F639" s="78">
        <v>620</v>
      </c>
      <c r="G639" s="79" t="s">
        <v>541</v>
      </c>
    </row>
    <row r="640" spans="3:7" ht="15.75" customHeight="1" x14ac:dyDescent="0.2">
      <c r="C640" s="78" t="s">
        <v>516</v>
      </c>
      <c r="D640" s="78">
        <v>521</v>
      </c>
      <c r="E640" s="78" t="s">
        <v>525</v>
      </c>
      <c r="F640" s="78">
        <v>521</v>
      </c>
      <c r="G640" s="79" t="s">
        <v>516</v>
      </c>
    </row>
    <row r="641" spans="3:7" ht="15.75" customHeight="1" x14ac:dyDescent="0.2">
      <c r="C641" s="78" t="s">
        <v>307</v>
      </c>
      <c r="D641" s="78">
        <v>480</v>
      </c>
      <c r="E641" s="78" t="s">
        <v>323</v>
      </c>
      <c r="F641" s="78">
        <v>480</v>
      </c>
      <c r="G641" s="79" t="s">
        <v>307</v>
      </c>
    </row>
    <row r="642" spans="3:7" ht="15.75" customHeight="1" x14ac:dyDescent="0.2">
      <c r="C642" s="78" t="s">
        <v>307</v>
      </c>
      <c r="D642" s="78">
        <v>470</v>
      </c>
      <c r="E642" s="78" t="s">
        <v>326</v>
      </c>
      <c r="F642" s="78">
        <v>470</v>
      </c>
      <c r="G642" s="79" t="s">
        <v>307</v>
      </c>
    </row>
    <row r="643" spans="3:7" ht="15.75" customHeight="1" x14ac:dyDescent="0.2">
      <c r="C643" s="78" t="s">
        <v>516</v>
      </c>
      <c r="D643" s="78">
        <v>530</v>
      </c>
      <c r="E643" s="78" t="s">
        <v>406</v>
      </c>
      <c r="F643" s="78">
        <v>530</v>
      </c>
      <c r="G643" s="79" t="s">
        <v>516</v>
      </c>
    </row>
    <row r="644" spans="3:7" ht="15.75" customHeight="1" x14ac:dyDescent="0.2">
      <c r="C644" s="78" t="s">
        <v>516</v>
      </c>
      <c r="D644" s="78">
        <v>500</v>
      </c>
      <c r="E644" s="78" t="s">
        <v>392</v>
      </c>
      <c r="F644" s="78">
        <v>500</v>
      </c>
      <c r="G644" s="79" t="s">
        <v>516</v>
      </c>
    </row>
    <row r="645" spans="3:7" ht="15.75" customHeight="1" x14ac:dyDescent="0.2">
      <c r="C645" s="78" t="s">
        <v>516</v>
      </c>
      <c r="D645" s="78">
        <v>510</v>
      </c>
      <c r="E645" s="78" t="s">
        <v>103</v>
      </c>
      <c r="F645" s="78">
        <v>510</v>
      </c>
      <c r="G645" s="79" t="s">
        <v>516</v>
      </c>
    </row>
    <row r="646" spans="3:7" ht="15.75" customHeight="1" x14ac:dyDescent="0.2">
      <c r="C646" s="78" t="s">
        <v>636</v>
      </c>
      <c r="D646" s="78">
        <v>850</v>
      </c>
      <c r="E646" s="78" t="s">
        <v>315</v>
      </c>
      <c r="F646" s="78">
        <v>850</v>
      </c>
      <c r="G646" s="79" t="s">
        <v>636</v>
      </c>
    </row>
    <row r="647" spans="3:7" ht="15.75" customHeight="1" x14ac:dyDescent="0.2">
      <c r="C647" s="78" t="s">
        <v>636</v>
      </c>
      <c r="D647" s="78">
        <v>870</v>
      </c>
      <c r="E647" s="78" t="s">
        <v>321</v>
      </c>
      <c r="F647" s="78">
        <v>870</v>
      </c>
      <c r="G647" s="79" t="s">
        <v>636</v>
      </c>
    </row>
    <row r="648" spans="3:7" ht="15.75" customHeight="1" x14ac:dyDescent="0.2">
      <c r="C648" s="78" t="s">
        <v>679</v>
      </c>
      <c r="D648" s="78">
        <v>640</v>
      </c>
      <c r="E648" s="78" t="s">
        <v>179</v>
      </c>
      <c r="F648" s="78">
        <v>640</v>
      </c>
      <c r="G648" s="79" t="s">
        <v>679</v>
      </c>
    </row>
    <row r="649" spans="3:7" ht="15.75" customHeight="1" x14ac:dyDescent="0.2">
      <c r="C649" s="78" t="s">
        <v>677</v>
      </c>
      <c r="D649" s="78">
        <v>645</v>
      </c>
      <c r="E649" s="78" t="s">
        <v>591</v>
      </c>
      <c r="F649" s="78">
        <v>645</v>
      </c>
      <c r="G649" s="79" t="s">
        <v>677</v>
      </c>
    </row>
    <row r="650" spans="3:7" ht="15.75" customHeight="1" x14ac:dyDescent="0.2">
      <c r="C650" s="78" t="s">
        <v>677</v>
      </c>
      <c r="D650" s="78">
        <v>660</v>
      </c>
      <c r="E650" s="78" t="s">
        <v>574</v>
      </c>
      <c r="F650" s="78">
        <v>660</v>
      </c>
      <c r="G650" s="79" t="s">
        <v>677</v>
      </c>
    </row>
    <row r="651" spans="3:7" ht="15.75" customHeight="1" x14ac:dyDescent="0.2">
      <c r="C651" s="78" t="s">
        <v>677</v>
      </c>
      <c r="D651" s="78">
        <v>680</v>
      </c>
      <c r="E651" s="78" t="s">
        <v>218</v>
      </c>
      <c r="F651" s="78">
        <v>680</v>
      </c>
      <c r="G651" s="79" t="s">
        <v>677</v>
      </c>
    </row>
    <row r="652" spans="3:7" ht="15.75" customHeight="1" x14ac:dyDescent="0.2">
      <c r="C652" s="78" t="s">
        <v>679</v>
      </c>
      <c r="D652" s="78">
        <v>650</v>
      </c>
      <c r="E652" s="78" t="s">
        <v>54</v>
      </c>
      <c r="F652" s="78">
        <v>650</v>
      </c>
      <c r="G652" s="79" t="s">
        <v>679</v>
      </c>
    </row>
    <row r="653" spans="3:7" ht="15.75" customHeight="1" x14ac:dyDescent="0.2">
      <c r="C653" s="78" t="s">
        <v>390</v>
      </c>
      <c r="D653" s="78">
        <v>235</v>
      </c>
      <c r="E653" s="78" t="s">
        <v>416</v>
      </c>
      <c r="F653" s="78">
        <v>235</v>
      </c>
      <c r="G653" s="79" t="s">
        <v>390</v>
      </c>
    </row>
    <row r="654" spans="3:7" ht="15.75" customHeight="1" x14ac:dyDescent="0.2">
      <c r="C654" s="78" t="s">
        <v>613</v>
      </c>
      <c r="D654" s="78">
        <v>814</v>
      </c>
      <c r="E654" s="78" t="s">
        <v>457</v>
      </c>
      <c r="F654" s="78">
        <v>814</v>
      </c>
      <c r="G654" s="79" t="s">
        <v>613</v>
      </c>
    </row>
    <row r="655" spans="3:7" ht="15.75" customHeight="1" x14ac:dyDescent="0.25">
      <c r="C655" s="80" t="s">
        <v>145</v>
      </c>
      <c r="D655" s="80">
        <v>382</v>
      </c>
      <c r="E655" s="80" t="s">
        <v>178</v>
      </c>
      <c r="F655" s="80">
        <v>382</v>
      </c>
      <c r="G655" s="79" t="s">
        <v>145</v>
      </c>
    </row>
    <row r="656" spans="3:7" ht="15.75" customHeight="1" x14ac:dyDescent="0.2">
      <c r="C656" s="78" t="s">
        <v>263</v>
      </c>
      <c r="D656" s="78">
        <v>162</v>
      </c>
      <c r="E656" s="78" t="s">
        <v>281</v>
      </c>
      <c r="F656" s="78">
        <v>162</v>
      </c>
      <c r="G656" s="79" t="s">
        <v>263</v>
      </c>
    </row>
    <row r="657" spans="3:7" ht="15.75" customHeight="1" x14ac:dyDescent="0.2">
      <c r="C657" s="78" t="s">
        <v>390</v>
      </c>
      <c r="D657" s="78">
        <v>633</v>
      </c>
      <c r="E657" s="78" t="s">
        <v>420</v>
      </c>
      <c r="F657" s="78">
        <v>633</v>
      </c>
      <c r="G657" s="79" t="s">
        <v>390</v>
      </c>
    </row>
    <row r="658" spans="3:7" ht="15.75" customHeight="1" x14ac:dyDescent="0.2">
      <c r="C658" s="78" t="s">
        <v>145</v>
      </c>
      <c r="D658" s="78">
        <v>373</v>
      </c>
      <c r="E658" s="78" t="s">
        <v>197</v>
      </c>
      <c r="F658" s="78">
        <v>373</v>
      </c>
      <c r="G658" s="79" t="s">
        <v>145</v>
      </c>
    </row>
    <row r="659" spans="3:7" ht="15.75" customHeight="1" x14ac:dyDescent="0.2">
      <c r="C659" s="78" t="s">
        <v>460</v>
      </c>
      <c r="D659" s="78">
        <v>221</v>
      </c>
      <c r="E659" s="78" t="s">
        <v>475</v>
      </c>
      <c r="F659" s="78">
        <v>221</v>
      </c>
      <c r="G659" s="79" t="s">
        <v>460</v>
      </c>
    </row>
    <row r="660" spans="3:7" ht="15.75" customHeight="1" x14ac:dyDescent="0.2">
      <c r="C660" s="78" t="s">
        <v>677</v>
      </c>
      <c r="D660" s="78">
        <v>644</v>
      </c>
      <c r="E660" s="78" t="s">
        <v>600</v>
      </c>
      <c r="F660" s="78">
        <v>644</v>
      </c>
      <c r="G660" s="79" t="s">
        <v>677</v>
      </c>
    </row>
    <row r="661" spans="3:7" ht="15.75" customHeight="1" x14ac:dyDescent="0.2">
      <c r="C661" s="78" t="s">
        <v>499</v>
      </c>
      <c r="D661" s="78">
        <v>703</v>
      </c>
      <c r="E661" s="78" t="s">
        <v>350</v>
      </c>
      <c r="F661" s="78">
        <v>703</v>
      </c>
      <c r="G661" s="79" t="s">
        <v>499</v>
      </c>
    </row>
    <row r="662" spans="3:7" ht="15.75" customHeight="1" x14ac:dyDescent="0.2">
      <c r="C662" s="78" t="s">
        <v>263</v>
      </c>
      <c r="D662" s="78">
        <v>161</v>
      </c>
      <c r="E662" s="78" t="s">
        <v>284</v>
      </c>
      <c r="F662" s="78">
        <v>161</v>
      </c>
      <c r="G662" s="79" t="s">
        <v>263</v>
      </c>
    </row>
    <row r="663" spans="3:7" ht="15.75" customHeight="1" x14ac:dyDescent="0.2">
      <c r="C663" s="78" t="s">
        <v>516</v>
      </c>
      <c r="D663" s="78">
        <v>502</v>
      </c>
      <c r="E663" s="78" t="s">
        <v>410</v>
      </c>
      <c r="F663" s="78">
        <v>502</v>
      </c>
      <c r="G663" s="79" t="s">
        <v>516</v>
      </c>
    </row>
    <row r="664" spans="3:7" ht="15.75" customHeight="1" x14ac:dyDescent="0.2">
      <c r="C664" s="78" t="s">
        <v>636</v>
      </c>
      <c r="D664" s="78">
        <v>852</v>
      </c>
      <c r="E664" s="78" t="s">
        <v>68</v>
      </c>
      <c r="F664" s="78">
        <v>852</v>
      </c>
      <c r="G664" s="79" t="s">
        <v>636</v>
      </c>
    </row>
    <row r="665" spans="3:7" ht="15.75" customHeight="1" x14ac:dyDescent="0.2">
      <c r="C665" s="78" t="s">
        <v>460</v>
      </c>
      <c r="D665" s="78">
        <v>632</v>
      </c>
      <c r="E665" s="78" t="s">
        <v>479</v>
      </c>
      <c r="F665" s="78">
        <v>632</v>
      </c>
      <c r="G665" s="79" t="s">
        <v>460</v>
      </c>
    </row>
    <row r="666" spans="3:7" ht="15.75" customHeight="1" x14ac:dyDescent="0.2">
      <c r="C666" s="78" t="s">
        <v>349</v>
      </c>
      <c r="D666" s="78">
        <v>451</v>
      </c>
      <c r="E666" s="78" t="s">
        <v>358</v>
      </c>
      <c r="F666" s="78">
        <v>451</v>
      </c>
      <c r="G666" s="79" t="s">
        <v>349</v>
      </c>
    </row>
    <row r="667" spans="3:7" ht="15.75" customHeight="1" x14ac:dyDescent="0.2">
      <c r="C667" s="78" t="s">
        <v>349</v>
      </c>
      <c r="D667" s="78">
        <v>461</v>
      </c>
      <c r="E667" s="78" t="s">
        <v>94</v>
      </c>
      <c r="F667" s="78">
        <v>461</v>
      </c>
      <c r="G667" s="79" t="s">
        <v>349</v>
      </c>
    </row>
    <row r="668" spans="3:7" ht="15.75" customHeight="1" x14ac:dyDescent="0.2">
      <c r="C668" s="78" t="s">
        <v>636</v>
      </c>
      <c r="D668" s="78">
        <v>851</v>
      </c>
      <c r="E668" s="78" t="s">
        <v>340</v>
      </c>
      <c r="F668" s="78">
        <v>851</v>
      </c>
      <c r="G668" s="79" t="s">
        <v>636</v>
      </c>
    </row>
    <row r="669" spans="3:7" ht="15.75" customHeight="1" x14ac:dyDescent="0.2">
      <c r="C669" s="78" t="s">
        <v>145</v>
      </c>
      <c r="D669" s="78">
        <v>383</v>
      </c>
      <c r="E669" s="78" t="s">
        <v>208</v>
      </c>
      <c r="F669" s="78">
        <v>383</v>
      </c>
      <c r="G669" s="79" t="s">
        <v>145</v>
      </c>
    </row>
    <row r="670" spans="3:7" ht="15.75" customHeight="1" x14ac:dyDescent="0.2">
      <c r="C670" s="78" t="s">
        <v>677</v>
      </c>
      <c r="D670" s="78">
        <v>682</v>
      </c>
      <c r="E670" s="78" t="s">
        <v>580</v>
      </c>
      <c r="F670" s="78">
        <v>682</v>
      </c>
      <c r="G670" s="79" t="s">
        <v>677</v>
      </c>
    </row>
    <row r="671" spans="3:7" ht="15.75" customHeight="1" x14ac:dyDescent="0.2">
      <c r="C671" s="78" t="s">
        <v>390</v>
      </c>
      <c r="D671" s="78">
        <v>231</v>
      </c>
      <c r="E671" s="78" t="s">
        <v>424</v>
      </c>
      <c r="F671" s="78">
        <v>231</v>
      </c>
      <c r="G671" s="79" t="s">
        <v>390</v>
      </c>
    </row>
    <row r="672" spans="3:7" ht="15.75" customHeight="1" x14ac:dyDescent="0.2">
      <c r="C672" s="78" t="s">
        <v>349</v>
      </c>
      <c r="D672" s="78">
        <v>591</v>
      </c>
      <c r="E672" s="78" t="s">
        <v>365</v>
      </c>
      <c r="F672" s="78">
        <v>591</v>
      </c>
      <c r="G672" s="79" t="s">
        <v>349</v>
      </c>
    </row>
    <row r="673" spans="3:7" ht="15.75" customHeight="1" x14ac:dyDescent="0.2">
      <c r="C673" s="78" t="s">
        <v>679</v>
      </c>
      <c r="D673" s="78">
        <v>643</v>
      </c>
      <c r="E673" s="78" t="s">
        <v>598</v>
      </c>
      <c r="F673" s="78">
        <v>643</v>
      </c>
      <c r="G673" s="79" t="s">
        <v>679</v>
      </c>
    </row>
    <row r="674" spans="3:7" ht="15.75" customHeight="1" x14ac:dyDescent="0.2">
      <c r="C674" s="78" t="s">
        <v>679</v>
      </c>
      <c r="D674" s="78">
        <v>673</v>
      </c>
      <c r="E674" s="78" t="s">
        <v>582</v>
      </c>
      <c r="F674" s="78">
        <v>673</v>
      </c>
      <c r="G674" s="79" t="s">
        <v>679</v>
      </c>
    </row>
    <row r="675" spans="3:7" ht="15.75" customHeight="1" x14ac:dyDescent="0.2">
      <c r="C675" s="78" t="s">
        <v>516</v>
      </c>
      <c r="D675" s="78">
        <v>525</v>
      </c>
      <c r="E675" s="78" t="s">
        <v>426</v>
      </c>
      <c r="F675" s="78">
        <v>525</v>
      </c>
      <c r="G675" s="79" t="s">
        <v>516</v>
      </c>
    </row>
    <row r="676" spans="3:7" ht="15.75" customHeight="1" x14ac:dyDescent="0.2">
      <c r="C676" s="78" t="s">
        <v>677</v>
      </c>
      <c r="D676" s="78">
        <v>642</v>
      </c>
      <c r="E676" s="78" t="s">
        <v>596</v>
      </c>
      <c r="F676" s="78">
        <v>642</v>
      </c>
      <c r="G676" s="79" t="s">
        <v>677</v>
      </c>
    </row>
    <row r="677" spans="3:7" ht="15.75" customHeight="1" x14ac:dyDescent="0.2">
      <c r="C677" s="78" t="s">
        <v>516</v>
      </c>
      <c r="D677" s="78">
        <v>501</v>
      </c>
      <c r="E677" s="78" t="s">
        <v>418</v>
      </c>
      <c r="F677" s="78">
        <v>501</v>
      </c>
      <c r="G677" s="79" t="s">
        <v>516</v>
      </c>
    </row>
    <row r="678" spans="3:7" ht="15.75" customHeight="1" x14ac:dyDescent="0.2">
      <c r="C678" s="78" t="s">
        <v>499</v>
      </c>
      <c r="D678" s="78">
        <v>701</v>
      </c>
      <c r="E678" s="78" t="s">
        <v>360</v>
      </c>
      <c r="F678" s="78">
        <v>701</v>
      </c>
      <c r="G678" s="79" t="s">
        <v>499</v>
      </c>
    </row>
    <row r="679" spans="3:7" ht="15.75" customHeight="1" x14ac:dyDescent="0.2">
      <c r="C679" s="78" t="s">
        <v>636</v>
      </c>
      <c r="D679" s="78">
        <v>863</v>
      </c>
      <c r="E679" s="78" t="s">
        <v>663</v>
      </c>
      <c r="F679" s="78">
        <v>863</v>
      </c>
      <c r="G679" s="79" t="s">
        <v>636</v>
      </c>
    </row>
    <row r="680" spans="3:7" ht="15.75" customHeight="1" x14ac:dyDescent="0.2">
      <c r="C680" s="78" t="s">
        <v>145</v>
      </c>
      <c r="D680" s="78">
        <v>376</v>
      </c>
      <c r="E680" s="78" t="s">
        <v>216</v>
      </c>
      <c r="F680" s="78">
        <v>376</v>
      </c>
      <c r="G680" s="79" t="s">
        <v>145</v>
      </c>
    </row>
    <row r="681" spans="3:7" ht="15.75" customHeight="1" x14ac:dyDescent="0.2">
      <c r="C681" s="78" t="s">
        <v>460</v>
      </c>
      <c r="D681" s="78">
        <v>245</v>
      </c>
      <c r="E681" s="78" t="s">
        <v>482</v>
      </c>
      <c r="F681" s="78">
        <v>245</v>
      </c>
      <c r="G681" s="79" t="s">
        <v>460</v>
      </c>
    </row>
    <row r="682" spans="3:7" ht="15.75" customHeight="1" x14ac:dyDescent="0.2">
      <c r="C682" s="78" t="s">
        <v>677</v>
      </c>
      <c r="D682" s="78">
        <v>663</v>
      </c>
      <c r="E682" s="78" t="s">
        <v>678</v>
      </c>
      <c r="F682" s="78">
        <v>663</v>
      </c>
      <c r="G682" s="79" t="s">
        <v>677</v>
      </c>
    </row>
    <row r="683" spans="3:7" ht="15.75" customHeight="1" x14ac:dyDescent="0.2">
      <c r="C683" s="78" t="s">
        <v>679</v>
      </c>
      <c r="D683" s="78">
        <v>683</v>
      </c>
      <c r="E683" s="78" t="s">
        <v>680</v>
      </c>
      <c r="F683" s="78">
        <v>683</v>
      </c>
      <c r="G683" s="79" t="s">
        <v>679</v>
      </c>
    </row>
    <row r="684" spans="3:7" ht="15.75" customHeight="1" x14ac:dyDescent="0.2">
      <c r="C684" s="78" t="s">
        <v>263</v>
      </c>
      <c r="D684" s="78">
        <v>163</v>
      </c>
      <c r="E684" s="78" t="s">
        <v>287</v>
      </c>
      <c r="F684" s="78">
        <v>163</v>
      </c>
      <c r="G684" s="79" t="s">
        <v>263</v>
      </c>
    </row>
    <row r="685" spans="3:7" ht="15.75" customHeight="1" x14ac:dyDescent="0.2">
      <c r="C685" s="78" t="s">
        <v>390</v>
      </c>
      <c r="D685" s="78">
        <v>252</v>
      </c>
      <c r="E685" s="78" t="s">
        <v>428</v>
      </c>
      <c r="F685" s="78">
        <v>252</v>
      </c>
      <c r="G685" s="79" t="s">
        <v>390</v>
      </c>
    </row>
    <row r="686" spans="3:7" ht="15.75" customHeight="1" x14ac:dyDescent="0.2">
      <c r="C686" s="78" t="s">
        <v>263</v>
      </c>
      <c r="D686" s="78">
        <v>122</v>
      </c>
      <c r="E686" s="78" t="s">
        <v>290</v>
      </c>
      <c r="F686" s="78">
        <v>122</v>
      </c>
      <c r="G686" s="79" t="s">
        <v>263</v>
      </c>
    </row>
    <row r="687" spans="3:7" ht="15.75" customHeight="1" x14ac:dyDescent="0.2">
      <c r="C687" s="78" t="s">
        <v>613</v>
      </c>
      <c r="D687" s="78">
        <v>813</v>
      </c>
      <c r="E687" s="78" t="s">
        <v>483</v>
      </c>
      <c r="F687" s="78">
        <v>813</v>
      </c>
      <c r="G687" s="79" t="s">
        <v>613</v>
      </c>
    </row>
    <row r="688" spans="3:7" ht="15.75" customHeight="1" x14ac:dyDescent="0.2">
      <c r="C688" s="78" t="s">
        <v>145</v>
      </c>
      <c r="D688" s="78">
        <v>371</v>
      </c>
      <c r="E688" s="78" t="s">
        <v>224</v>
      </c>
      <c r="F688" s="78">
        <v>371</v>
      </c>
      <c r="G688" s="79" t="s">
        <v>145</v>
      </c>
    </row>
    <row r="689" spans="3:7" ht="15.75" customHeight="1" x14ac:dyDescent="0.2">
      <c r="C689" s="78" t="s">
        <v>460</v>
      </c>
      <c r="D689" s="78">
        <v>748</v>
      </c>
      <c r="E689" s="78" t="s">
        <v>485</v>
      </c>
      <c r="F689" s="78">
        <v>748</v>
      </c>
      <c r="G689" s="79" t="s">
        <v>460</v>
      </c>
    </row>
    <row r="690" spans="3:7" ht="15.75" customHeight="1" x14ac:dyDescent="0.2">
      <c r="C690" s="78" t="s">
        <v>516</v>
      </c>
      <c r="D690" s="78">
        <v>503</v>
      </c>
      <c r="E690" s="78" t="s">
        <v>396</v>
      </c>
      <c r="F690" s="78">
        <v>503</v>
      </c>
      <c r="G690" s="79" t="s">
        <v>516</v>
      </c>
    </row>
    <row r="691" spans="3:7" ht="15.75" customHeight="1" x14ac:dyDescent="0.2">
      <c r="C691" s="78" t="s">
        <v>516</v>
      </c>
      <c r="D691" s="78">
        <v>526</v>
      </c>
      <c r="E691" s="78" t="s">
        <v>539</v>
      </c>
      <c r="F691" s="78">
        <v>526</v>
      </c>
      <c r="G691" s="79" t="s">
        <v>516</v>
      </c>
    </row>
    <row r="692" spans="3:7" ht="15.75" customHeight="1" x14ac:dyDescent="0.2">
      <c r="C692" s="78" t="s">
        <v>516</v>
      </c>
      <c r="D692" s="78">
        <v>512</v>
      </c>
      <c r="E692" s="78" t="s">
        <v>402</v>
      </c>
      <c r="F692" s="78">
        <v>512</v>
      </c>
      <c r="G692" s="79" t="s">
        <v>516</v>
      </c>
    </row>
    <row r="693" spans="3:7" ht="15.75" customHeight="1" x14ac:dyDescent="0.2">
      <c r="C693" s="78" t="s">
        <v>460</v>
      </c>
      <c r="D693" s="78">
        <v>219</v>
      </c>
      <c r="E693" s="78" t="s">
        <v>497</v>
      </c>
      <c r="F693" s="78">
        <v>219</v>
      </c>
      <c r="G693" s="79" t="s">
        <v>460</v>
      </c>
    </row>
    <row r="694" spans="3:7" ht="15.75" customHeight="1" x14ac:dyDescent="0.2">
      <c r="C694" s="78" t="s">
        <v>541</v>
      </c>
      <c r="D694" s="78">
        <v>911</v>
      </c>
      <c r="E694" s="78" t="s">
        <v>548</v>
      </c>
      <c r="F694" s="78">
        <v>911</v>
      </c>
      <c r="G694" s="79" t="s">
        <v>541</v>
      </c>
    </row>
    <row r="695" spans="3:7" ht="15.75" customHeight="1" x14ac:dyDescent="0.2">
      <c r="C695" s="78" t="s">
        <v>307</v>
      </c>
      <c r="D695" s="78">
        <v>471</v>
      </c>
      <c r="E695" s="78" t="s">
        <v>329</v>
      </c>
      <c r="F695" s="78">
        <v>471</v>
      </c>
      <c r="G695" s="79" t="s">
        <v>307</v>
      </c>
    </row>
    <row r="696" spans="3:7" ht="15.75" customHeight="1" x14ac:dyDescent="0.2">
      <c r="C696" s="78" t="s">
        <v>460</v>
      </c>
      <c r="D696" s="78">
        <v>246</v>
      </c>
      <c r="E696" s="78" t="s">
        <v>683</v>
      </c>
      <c r="F696" s="78">
        <v>246</v>
      </c>
      <c r="G696" s="79" t="s">
        <v>460</v>
      </c>
    </row>
    <row r="697" spans="3:7" ht="15.75" customHeight="1" x14ac:dyDescent="0.2">
      <c r="C697" s="78" t="s">
        <v>679</v>
      </c>
      <c r="D697" s="78">
        <v>672</v>
      </c>
      <c r="E697" s="78" t="s">
        <v>244</v>
      </c>
      <c r="F697" s="78">
        <v>672</v>
      </c>
      <c r="G697" s="79" t="s">
        <v>679</v>
      </c>
    </row>
    <row r="698" spans="3:7" ht="15.75" customHeight="1" x14ac:dyDescent="0.2">
      <c r="C698" s="78" t="s">
        <v>516</v>
      </c>
      <c r="D698" s="78">
        <v>523</v>
      </c>
      <c r="E698" s="78" t="s">
        <v>530</v>
      </c>
      <c r="F698" s="78">
        <v>523</v>
      </c>
      <c r="G698" s="79" t="s">
        <v>516</v>
      </c>
    </row>
    <row r="699" spans="3:7" ht="15.75" customHeight="1" x14ac:dyDescent="0.2">
      <c r="C699" s="78" t="s">
        <v>541</v>
      </c>
      <c r="D699" s="78">
        <v>622</v>
      </c>
      <c r="E699" s="78" t="s">
        <v>564</v>
      </c>
      <c r="F699" s="78">
        <v>622</v>
      </c>
      <c r="G699" s="79" t="s">
        <v>541</v>
      </c>
    </row>
    <row r="700" spans="3:7" ht="15.75" customHeight="1" x14ac:dyDescent="0.2">
      <c r="C700" s="78" t="s">
        <v>499</v>
      </c>
      <c r="D700" s="78">
        <v>702</v>
      </c>
      <c r="E700" s="78" t="s">
        <v>346</v>
      </c>
      <c r="F700" s="78">
        <v>702</v>
      </c>
      <c r="G700" s="79" t="s">
        <v>499</v>
      </c>
    </row>
    <row r="701" spans="3:7" ht="15.75" customHeight="1" x14ac:dyDescent="0.2">
      <c r="C701" s="78" t="s">
        <v>499</v>
      </c>
      <c r="D701" s="78">
        <v>733</v>
      </c>
      <c r="E701" s="78" t="s">
        <v>507</v>
      </c>
      <c r="F701" s="78">
        <v>733</v>
      </c>
      <c r="G701" s="79" t="s">
        <v>499</v>
      </c>
    </row>
    <row r="702" spans="3:7" ht="15.75" customHeight="1" x14ac:dyDescent="0.2">
      <c r="C702" s="78" t="s">
        <v>613</v>
      </c>
      <c r="D702" s="78">
        <v>815</v>
      </c>
      <c r="E702" s="78" t="s">
        <v>477</v>
      </c>
      <c r="F702" s="78">
        <v>815</v>
      </c>
      <c r="G702" s="79" t="s">
        <v>613</v>
      </c>
    </row>
    <row r="703" spans="3:7" ht="15.75" customHeight="1" x14ac:dyDescent="0.2">
      <c r="C703" s="78" t="s">
        <v>349</v>
      </c>
      <c r="D703" s="78">
        <v>455</v>
      </c>
      <c r="E703" s="78" t="s">
        <v>369</v>
      </c>
      <c r="F703" s="78">
        <v>455</v>
      </c>
      <c r="G703" s="79" t="s">
        <v>349</v>
      </c>
    </row>
    <row r="704" spans="3:7" ht="15.75" customHeight="1" x14ac:dyDescent="0.2">
      <c r="C704" s="78" t="s">
        <v>307</v>
      </c>
      <c r="D704" s="78">
        <v>782</v>
      </c>
      <c r="E704" s="78" t="s">
        <v>332</v>
      </c>
      <c r="F704" s="78">
        <v>782</v>
      </c>
      <c r="G704" s="79" t="s">
        <v>307</v>
      </c>
    </row>
    <row r="705" spans="3:7" ht="15.75" customHeight="1" x14ac:dyDescent="0.2">
      <c r="C705" s="78" t="s">
        <v>307</v>
      </c>
      <c r="D705" s="78">
        <v>771</v>
      </c>
      <c r="E705" s="78" t="s">
        <v>335</v>
      </c>
      <c r="F705" s="78">
        <v>771</v>
      </c>
      <c r="G705" s="79" t="s">
        <v>307</v>
      </c>
    </row>
    <row r="706" spans="3:7" ht="15.75" customHeight="1" x14ac:dyDescent="0.2">
      <c r="C706" s="78" t="s">
        <v>677</v>
      </c>
      <c r="D706" s="78">
        <v>372</v>
      </c>
      <c r="E706" s="78" t="s">
        <v>166</v>
      </c>
      <c r="F706" s="78">
        <v>372</v>
      </c>
      <c r="G706" s="79" t="s">
        <v>677</v>
      </c>
    </row>
    <row r="707" spans="3:7" ht="15.75" customHeight="1" x14ac:dyDescent="0.2">
      <c r="C707" s="78" t="s">
        <v>677</v>
      </c>
      <c r="D707" s="78">
        <v>681</v>
      </c>
      <c r="E707" s="78" t="s">
        <v>226</v>
      </c>
      <c r="F707" s="78">
        <v>681</v>
      </c>
      <c r="G707" s="79" t="s">
        <v>677</v>
      </c>
    </row>
    <row r="708" spans="3:7" ht="15.75" customHeight="1" x14ac:dyDescent="0.2">
      <c r="C708" s="78" t="s">
        <v>499</v>
      </c>
      <c r="D708" s="78">
        <v>721</v>
      </c>
      <c r="E708" s="78" t="s">
        <v>383</v>
      </c>
      <c r="F708" s="78">
        <v>721</v>
      </c>
      <c r="G708" s="79" t="s">
        <v>499</v>
      </c>
    </row>
    <row r="709" spans="3:7" ht="15.75" customHeight="1" x14ac:dyDescent="0.2">
      <c r="C709" s="78" t="s">
        <v>263</v>
      </c>
      <c r="D709" s="78">
        <v>121</v>
      </c>
      <c r="E709" s="78" t="s">
        <v>293</v>
      </c>
      <c r="F709" s="78">
        <v>121</v>
      </c>
      <c r="G709" s="79" t="s">
        <v>263</v>
      </c>
    </row>
    <row r="710" spans="3:7" ht="15.75" customHeight="1" x14ac:dyDescent="0.2">
      <c r="C710" s="78" t="s">
        <v>499</v>
      </c>
      <c r="D710" s="78">
        <v>711</v>
      </c>
      <c r="E710" s="78" t="s">
        <v>356</v>
      </c>
      <c r="F710" s="78">
        <v>711</v>
      </c>
      <c r="G710" s="79" t="s">
        <v>499</v>
      </c>
    </row>
    <row r="711" spans="3:7" ht="15.75" customHeight="1" x14ac:dyDescent="0.2">
      <c r="C711" s="78" t="s">
        <v>677</v>
      </c>
      <c r="D711" s="78">
        <v>651</v>
      </c>
      <c r="E711" s="78" t="s">
        <v>199</v>
      </c>
      <c r="F711" s="78">
        <v>651</v>
      </c>
      <c r="G711" s="79" t="s">
        <v>677</v>
      </c>
    </row>
    <row r="712" spans="3:7" ht="15.75" customHeight="1" x14ac:dyDescent="0.2">
      <c r="C712" s="78" t="s">
        <v>460</v>
      </c>
      <c r="D712" s="78">
        <v>226</v>
      </c>
      <c r="E712" s="78" t="s">
        <v>684</v>
      </c>
      <c r="F712" s="78">
        <v>226</v>
      </c>
      <c r="G712" s="79" t="s">
        <v>460</v>
      </c>
    </row>
    <row r="713" spans="3:7" ht="15.75" customHeight="1" x14ac:dyDescent="0.2">
      <c r="C713" s="78" t="s">
        <v>390</v>
      </c>
      <c r="D713" s="78">
        <v>212</v>
      </c>
      <c r="E713" s="78" t="s">
        <v>432</v>
      </c>
      <c r="F713" s="78">
        <v>212</v>
      </c>
      <c r="G713" s="79" t="s">
        <v>390</v>
      </c>
    </row>
    <row r="714" spans="3:7" ht="15.75" customHeight="1" x14ac:dyDescent="0.2">
      <c r="C714" s="78" t="s">
        <v>390</v>
      </c>
      <c r="D714" s="78">
        <v>214</v>
      </c>
      <c r="E714" s="78" t="s">
        <v>436</v>
      </c>
      <c r="F714" s="78">
        <v>214</v>
      </c>
      <c r="G714" s="79" t="s">
        <v>390</v>
      </c>
    </row>
    <row r="715" spans="3:7" ht="15.75" customHeight="1" x14ac:dyDescent="0.2">
      <c r="C715" s="78" t="s">
        <v>516</v>
      </c>
      <c r="D715" s="78">
        <v>527</v>
      </c>
      <c r="E715" s="78" t="s">
        <v>676</v>
      </c>
      <c r="F715" s="78">
        <v>527</v>
      </c>
      <c r="G715" s="79" t="s">
        <v>516</v>
      </c>
    </row>
    <row r="716" spans="3:7" ht="15.75" customHeight="1" x14ac:dyDescent="0.2">
      <c r="C716" s="78" t="s">
        <v>541</v>
      </c>
      <c r="D716" s="78">
        <v>631</v>
      </c>
      <c r="E716" s="78" t="s">
        <v>544</v>
      </c>
      <c r="F716" s="78">
        <v>631</v>
      </c>
      <c r="G716" s="79" t="s">
        <v>541</v>
      </c>
    </row>
    <row r="717" spans="3:7" ht="15.75" customHeight="1" x14ac:dyDescent="0.2">
      <c r="C717" s="78" t="s">
        <v>390</v>
      </c>
      <c r="D717" s="78">
        <v>233</v>
      </c>
      <c r="E717" s="78" t="s">
        <v>439</v>
      </c>
      <c r="F717" s="78">
        <v>233</v>
      </c>
      <c r="G717" s="79" t="s">
        <v>390</v>
      </c>
    </row>
    <row r="718" spans="3:7" ht="15.75" customHeight="1" x14ac:dyDescent="0.2">
      <c r="C718" s="78" t="s">
        <v>636</v>
      </c>
      <c r="D718" s="78">
        <v>862</v>
      </c>
      <c r="E718" s="78" t="s">
        <v>330</v>
      </c>
      <c r="F718" s="78">
        <v>862</v>
      </c>
      <c r="G718" s="79" t="s">
        <v>636</v>
      </c>
    </row>
    <row r="719" spans="3:7" ht="15.75" customHeight="1" x14ac:dyDescent="0.2">
      <c r="C719" s="78" t="s">
        <v>499</v>
      </c>
      <c r="D719" s="78">
        <v>720</v>
      </c>
      <c r="E719" s="78" t="s">
        <v>363</v>
      </c>
      <c r="F719" s="78">
        <v>720</v>
      </c>
      <c r="G719" s="79" t="s">
        <v>499</v>
      </c>
    </row>
    <row r="720" spans="3:7" ht="15.75" customHeight="1" x14ac:dyDescent="0.2">
      <c r="C720" s="78" t="s">
        <v>499</v>
      </c>
      <c r="D720" s="78">
        <v>730</v>
      </c>
      <c r="E720" s="78" t="s">
        <v>367</v>
      </c>
      <c r="F720" s="78">
        <v>730</v>
      </c>
      <c r="G720" s="79" t="s">
        <v>499</v>
      </c>
    </row>
    <row r="721" spans="3:7" ht="15.75" customHeight="1" x14ac:dyDescent="0.2">
      <c r="C721" s="78" t="s">
        <v>602</v>
      </c>
      <c r="D721" s="78">
        <v>745</v>
      </c>
      <c r="E721" s="78" t="s">
        <v>608</v>
      </c>
      <c r="F721" s="78">
        <v>745</v>
      </c>
      <c r="G721" s="79" t="s">
        <v>602</v>
      </c>
    </row>
    <row r="722" spans="3:7" ht="15.75" customHeight="1" x14ac:dyDescent="0.2">
      <c r="C722" s="78" t="s">
        <v>145</v>
      </c>
      <c r="D722" s="78">
        <v>391</v>
      </c>
      <c r="E722" s="78" t="s">
        <v>239</v>
      </c>
      <c r="F722" s="78">
        <v>391</v>
      </c>
      <c r="G722" s="79" t="s">
        <v>145</v>
      </c>
    </row>
    <row r="723" spans="3:7" ht="15.75" customHeight="1" x14ac:dyDescent="0.2">
      <c r="C723" s="78" t="s">
        <v>516</v>
      </c>
      <c r="D723" s="78">
        <v>520</v>
      </c>
      <c r="E723" s="78" t="s">
        <v>422</v>
      </c>
      <c r="F723" s="78">
        <v>520</v>
      </c>
      <c r="G723" s="79" t="s">
        <v>516</v>
      </c>
    </row>
    <row r="724" spans="3:7" ht="15.75" customHeight="1" x14ac:dyDescent="0.2">
      <c r="C724" s="78" t="s">
        <v>516</v>
      </c>
      <c r="D724" s="78">
        <v>522</v>
      </c>
      <c r="E724" s="78" t="s">
        <v>430</v>
      </c>
      <c r="F724" s="78">
        <v>522</v>
      </c>
      <c r="G724" s="79" t="s">
        <v>516</v>
      </c>
    </row>
    <row r="725" spans="3:7" ht="15.75" customHeight="1" x14ac:dyDescent="0.2">
      <c r="C725" s="78" t="s">
        <v>145</v>
      </c>
      <c r="D725" s="78">
        <v>390</v>
      </c>
      <c r="E725" s="78" t="s">
        <v>243</v>
      </c>
      <c r="F725" s="78">
        <v>390</v>
      </c>
      <c r="G725" s="79" t="s">
        <v>145</v>
      </c>
    </row>
    <row r="726" spans="3:7" ht="15.75" customHeight="1" x14ac:dyDescent="0.2">
      <c r="C726" s="78" t="s">
        <v>145</v>
      </c>
      <c r="D726" s="78">
        <v>380</v>
      </c>
      <c r="E726" s="78" t="s">
        <v>248</v>
      </c>
      <c r="F726" s="78">
        <v>380</v>
      </c>
      <c r="G726" s="79" t="s">
        <v>145</v>
      </c>
    </row>
    <row r="727" spans="3:7" ht="15.75" customHeight="1" x14ac:dyDescent="0.2">
      <c r="C727" s="78" t="s">
        <v>145</v>
      </c>
      <c r="D727" s="78">
        <v>370</v>
      </c>
      <c r="E727" s="78" t="s">
        <v>48</v>
      </c>
      <c r="F727" s="78">
        <v>370</v>
      </c>
      <c r="G727" s="79" t="s">
        <v>145</v>
      </c>
    </row>
    <row r="728" spans="3:7" ht="15.75" customHeight="1" x14ac:dyDescent="0.2">
      <c r="C728" s="78" t="s">
        <v>541</v>
      </c>
      <c r="D728" s="78">
        <v>621</v>
      </c>
      <c r="E728" s="78" t="s">
        <v>537</v>
      </c>
      <c r="F728" s="78">
        <v>621</v>
      </c>
      <c r="G728" s="79" t="s">
        <v>541</v>
      </c>
    </row>
    <row r="729" spans="3:7" ht="15.75" customHeight="1" x14ac:dyDescent="0.2">
      <c r="C729" s="78" t="s">
        <v>145</v>
      </c>
      <c r="D729" s="78">
        <v>402</v>
      </c>
      <c r="E729" s="78" t="s">
        <v>231</v>
      </c>
      <c r="F729" s="78">
        <v>402</v>
      </c>
      <c r="G729" s="79" t="s">
        <v>145</v>
      </c>
    </row>
    <row r="730" spans="3:7" ht="15.75" customHeight="1" x14ac:dyDescent="0.2">
      <c r="C730" s="78" t="s">
        <v>613</v>
      </c>
      <c r="D730" s="78">
        <v>795</v>
      </c>
      <c r="E730" s="78" t="s">
        <v>682</v>
      </c>
      <c r="F730" s="78">
        <v>795</v>
      </c>
      <c r="G730" s="79" t="s">
        <v>613</v>
      </c>
    </row>
    <row r="731" spans="3:7" ht="15.75" customHeight="1" x14ac:dyDescent="0.2">
      <c r="C731" s="78" t="s">
        <v>349</v>
      </c>
      <c r="D731" s="78">
        <v>540</v>
      </c>
      <c r="E731" s="78" t="s">
        <v>373</v>
      </c>
      <c r="F731" s="78">
        <v>540</v>
      </c>
      <c r="G731" s="79" t="s">
        <v>349</v>
      </c>
    </row>
    <row r="732" spans="3:7" ht="15.75" customHeight="1" x14ac:dyDescent="0.2">
      <c r="C732" s="78" t="s">
        <v>263</v>
      </c>
      <c r="D732" s="78">
        <v>160</v>
      </c>
      <c r="E732" s="78" t="s">
        <v>299</v>
      </c>
      <c r="F732" s="78">
        <v>160</v>
      </c>
      <c r="G732" s="79" t="s">
        <v>263</v>
      </c>
    </row>
    <row r="733" spans="3:7" ht="15.75" customHeight="1" x14ac:dyDescent="0.2">
      <c r="C733" s="78" t="s">
        <v>307</v>
      </c>
      <c r="D733" s="78">
        <v>781</v>
      </c>
      <c r="E733" s="78" t="s">
        <v>338</v>
      </c>
      <c r="F733" s="78">
        <v>781</v>
      </c>
      <c r="G733" s="79" t="s">
        <v>307</v>
      </c>
    </row>
    <row r="734" spans="3:7" ht="15.75" customHeight="1" x14ac:dyDescent="0.2">
      <c r="C734" s="78" t="s">
        <v>602</v>
      </c>
      <c r="D734" s="78">
        <v>765</v>
      </c>
      <c r="E734" s="78" t="s">
        <v>568</v>
      </c>
      <c r="F734" s="78">
        <v>765</v>
      </c>
      <c r="G734" s="79" t="s">
        <v>602</v>
      </c>
    </row>
    <row r="735" spans="3:7" ht="15.75" customHeight="1" x14ac:dyDescent="0.2">
      <c r="C735" s="78" t="s">
        <v>460</v>
      </c>
      <c r="D735" s="78">
        <v>241</v>
      </c>
      <c r="E735" s="78" t="s">
        <v>493</v>
      </c>
      <c r="F735" s="78">
        <v>241</v>
      </c>
      <c r="G735" s="79" t="s">
        <v>460</v>
      </c>
    </row>
    <row r="736" spans="3:7" ht="15.75" customHeight="1" x14ac:dyDescent="0.2">
      <c r="C736" s="78" t="s">
        <v>349</v>
      </c>
      <c r="D736" s="78">
        <v>590</v>
      </c>
      <c r="E736" s="78" t="s">
        <v>348</v>
      </c>
      <c r="F736" s="78">
        <v>590</v>
      </c>
      <c r="G736" s="79" t="s">
        <v>349</v>
      </c>
    </row>
    <row r="737" spans="3:7" ht="15.75" customHeight="1" x14ac:dyDescent="0.2">
      <c r="C737" s="78" t="s">
        <v>349</v>
      </c>
      <c r="D737" s="78">
        <v>600</v>
      </c>
      <c r="E737" s="78" t="s">
        <v>377</v>
      </c>
      <c r="F737" s="78">
        <v>600</v>
      </c>
      <c r="G737" s="79" t="s">
        <v>349</v>
      </c>
    </row>
    <row r="738" spans="3:7" ht="15.75" customHeight="1" x14ac:dyDescent="0.2">
      <c r="C738" s="78" t="s">
        <v>145</v>
      </c>
      <c r="D738" s="78">
        <v>403</v>
      </c>
      <c r="E738" s="78" t="s">
        <v>254</v>
      </c>
      <c r="F738" s="78">
        <v>403</v>
      </c>
      <c r="G738" s="79" t="s">
        <v>145</v>
      </c>
    </row>
    <row r="739" spans="3:7" ht="15.75" customHeight="1" x14ac:dyDescent="0.2">
      <c r="C739" s="78" t="s">
        <v>145</v>
      </c>
      <c r="D739" s="78">
        <v>400</v>
      </c>
      <c r="E739" s="78" t="s">
        <v>258</v>
      </c>
      <c r="F739" s="78">
        <v>400</v>
      </c>
      <c r="G739" s="79" t="s">
        <v>145</v>
      </c>
    </row>
    <row r="740" spans="3:7" ht="15.75" customHeight="1" x14ac:dyDescent="0.2">
      <c r="C740" s="43" t="s">
        <v>145</v>
      </c>
      <c r="D740" s="78">
        <v>100</v>
      </c>
      <c r="E740" s="43" t="s">
        <v>672</v>
      </c>
      <c r="F740" s="43">
        <v>100</v>
      </c>
      <c r="G740" s="81" t="s">
        <v>145</v>
      </c>
    </row>
    <row r="741" spans="3:7" ht="15.75" customHeight="1" x14ac:dyDescent="0.2">
      <c r="C741" s="78" t="s">
        <v>307</v>
      </c>
      <c r="D741" s="78">
        <v>770</v>
      </c>
      <c r="E741" s="78" t="s">
        <v>342</v>
      </c>
      <c r="F741" s="78">
        <v>770</v>
      </c>
      <c r="G741" s="79" t="s">
        <v>307</v>
      </c>
    </row>
    <row r="742" spans="3:7" ht="15.75" customHeight="1" x14ac:dyDescent="0.2">
      <c r="C742" s="78" t="s">
        <v>307</v>
      </c>
      <c r="D742" s="78">
        <v>780</v>
      </c>
      <c r="E742" s="78" t="s">
        <v>345</v>
      </c>
      <c r="F742" s="78">
        <v>780</v>
      </c>
      <c r="G742" s="79" t="s">
        <v>307</v>
      </c>
    </row>
    <row r="743" spans="3:7" ht="15.75" customHeight="1" x14ac:dyDescent="0.2">
      <c r="C743" s="78" t="s">
        <v>460</v>
      </c>
      <c r="D743" s="78">
        <v>222</v>
      </c>
      <c r="E743" s="78" t="s">
        <v>495</v>
      </c>
      <c r="F743" s="78">
        <v>222</v>
      </c>
      <c r="G743" s="79" t="s">
        <v>460</v>
      </c>
    </row>
    <row r="744" spans="3:7" ht="15.75" customHeight="1" x14ac:dyDescent="0.2">
      <c r="C744" s="78" t="s">
        <v>390</v>
      </c>
      <c r="D744" s="78">
        <v>635</v>
      </c>
      <c r="E744" s="78" t="s">
        <v>443</v>
      </c>
      <c r="F744" s="78">
        <v>635</v>
      </c>
      <c r="G744" s="79" t="s">
        <v>390</v>
      </c>
    </row>
    <row r="745" spans="3:7" ht="15.75" customHeight="1" x14ac:dyDescent="0.2">
      <c r="C745" s="78" t="s">
        <v>263</v>
      </c>
      <c r="D745" s="78">
        <v>120</v>
      </c>
      <c r="E745" s="78" t="s">
        <v>302</v>
      </c>
      <c r="F745" s="78">
        <v>120</v>
      </c>
      <c r="G745" s="79" t="s">
        <v>263</v>
      </c>
    </row>
    <row r="746" spans="3:7" ht="15.75" customHeight="1" x14ac:dyDescent="0.2">
      <c r="C746" s="78" t="s">
        <v>390</v>
      </c>
      <c r="D746" s="78">
        <v>211</v>
      </c>
      <c r="E746" s="78" t="s">
        <v>447</v>
      </c>
      <c r="F746" s="78">
        <v>211</v>
      </c>
      <c r="G746" s="79" t="s">
        <v>390</v>
      </c>
    </row>
    <row r="747" spans="3:7" ht="15.75" customHeight="1" x14ac:dyDescent="0.2">
      <c r="C747" s="78" t="s">
        <v>145</v>
      </c>
      <c r="D747" s="78">
        <v>374</v>
      </c>
      <c r="E747" s="78" t="s">
        <v>259</v>
      </c>
      <c r="F747" s="78">
        <v>374</v>
      </c>
      <c r="G747" s="79" t="s">
        <v>145</v>
      </c>
    </row>
    <row r="748" spans="3:7" ht="15.75" customHeight="1" x14ac:dyDescent="0.2">
      <c r="C748" s="78" t="s">
        <v>636</v>
      </c>
      <c r="D748" s="78">
        <v>860</v>
      </c>
      <c r="E748" s="78" t="s">
        <v>327</v>
      </c>
      <c r="F748" s="78">
        <v>860</v>
      </c>
      <c r="G748" s="79" t="s">
        <v>636</v>
      </c>
    </row>
    <row r="749" spans="3:7" ht="15.75" customHeight="1" x14ac:dyDescent="0.2">
      <c r="C749" s="78" t="s">
        <v>390</v>
      </c>
      <c r="D749" s="78">
        <v>639</v>
      </c>
      <c r="E749" s="78" t="s">
        <v>451</v>
      </c>
      <c r="F749" s="78">
        <v>639</v>
      </c>
      <c r="G749" s="79" t="s">
        <v>390</v>
      </c>
    </row>
    <row r="750" spans="3:7" ht="15.75" customHeight="1" x14ac:dyDescent="0.2">
      <c r="C750" s="78" t="s">
        <v>679</v>
      </c>
      <c r="D750" s="78">
        <v>661</v>
      </c>
      <c r="E750" s="78" t="s">
        <v>233</v>
      </c>
      <c r="F750" s="78">
        <v>661</v>
      </c>
      <c r="G750" s="79" t="s">
        <v>679</v>
      </c>
    </row>
    <row r="751" spans="3:7" ht="15.75" customHeight="1" x14ac:dyDescent="0.2">
      <c r="C751" s="78" t="s">
        <v>263</v>
      </c>
      <c r="D751" s="78">
        <v>302</v>
      </c>
      <c r="E751" s="78" t="s">
        <v>296</v>
      </c>
      <c r="F751" s="78">
        <v>302</v>
      </c>
      <c r="G751" s="79" t="s">
        <v>263</v>
      </c>
    </row>
    <row r="752" spans="3:7" ht="15.75" customHeight="1" x14ac:dyDescent="0.2">
      <c r="C752" s="78" t="s">
        <v>349</v>
      </c>
      <c r="D752" s="78">
        <v>450</v>
      </c>
      <c r="E752" s="78" t="s">
        <v>381</v>
      </c>
      <c r="F752" s="78">
        <v>450</v>
      </c>
      <c r="G752" s="79" t="s">
        <v>349</v>
      </c>
    </row>
    <row r="753" spans="3:7" ht="15.75" customHeight="1" x14ac:dyDescent="0.2">
      <c r="C753" s="78" t="s">
        <v>349</v>
      </c>
      <c r="D753" s="78">
        <v>460</v>
      </c>
      <c r="E753" s="78" t="s">
        <v>385</v>
      </c>
      <c r="F753" s="78">
        <v>460</v>
      </c>
      <c r="G753" s="79" t="s">
        <v>349</v>
      </c>
    </row>
    <row r="754" spans="3:7" ht="15.75" customHeight="1" x14ac:dyDescent="0.2">
      <c r="C754" s="78" t="s">
        <v>541</v>
      </c>
      <c r="D754" s="78">
        <v>630</v>
      </c>
      <c r="E754" s="78" t="s">
        <v>83</v>
      </c>
      <c r="F754" s="78">
        <v>630</v>
      </c>
      <c r="G754" s="79" t="s">
        <v>541</v>
      </c>
    </row>
    <row r="755" spans="3:7" ht="15.75" customHeight="1" x14ac:dyDescent="0.2">
      <c r="C755" s="78" t="s">
        <v>541</v>
      </c>
      <c r="D755" s="78">
        <v>690</v>
      </c>
      <c r="E755" s="78" t="s">
        <v>542</v>
      </c>
      <c r="F755" s="78">
        <v>690</v>
      </c>
      <c r="G755" s="79" t="s">
        <v>541</v>
      </c>
    </row>
    <row r="756" spans="3:7" ht="15.75" customHeight="1" x14ac:dyDescent="0.2">
      <c r="C756" s="78" t="s">
        <v>541</v>
      </c>
      <c r="D756" s="78">
        <v>910</v>
      </c>
      <c r="E756" s="78" t="s">
        <v>546</v>
      </c>
      <c r="F756" s="78">
        <v>910</v>
      </c>
      <c r="G756" s="79" t="s">
        <v>541</v>
      </c>
    </row>
    <row r="757" spans="3:7" ht="15.75" customHeight="1" x14ac:dyDescent="0.2">
      <c r="C757" s="82" t="s">
        <v>390</v>
      </c>
      <c r="D757" s="82">
        <v>213</v>
      </c>
      <c r="E757" s="82" t="s">
        <v>455</v>
      </c>
      <c r="F757" s="82">
        <v>213</v>
      </c>
      <c r="G757" s="83" t="s">
        <v>390</v>
      </c>
    </row>
    <row r="758" spans="3:7" ht="15.75" customHeight="1" x14ac:dyDescent="0.2">
      <c r="D758" s="82"/>
      <c r="G758" s="37"/>
    </row>
    <row r="759" spans="3:7" ht="15.75" customHeight="1" x14ac:dyDescent="0.2">
      <c r="D759" s="82"/>
      <c r="G759" s="37"/>
    </row>
    <row r="760" spans="3:7" ht="15.75" customHeight="1" x14ac:dyDescent="0.2">
      <c r="D760" s="82"/>
      <c r="G760" s="37"/>
    </row>
    <row r="761" spans="3:7" ht="15.75" customHeight="1" x14ac:dyDescent="0.2">
      <c r="D761" s="82"/>
      <c r="G761" s="37"/>
    </row>
    <row r="762" spans="3:7" ht="15.75" customHeight="1" x14ac:dyDescent="0.2">
      <c r="D762" s="82"/>
      <c r="G762" s="37"/>
    </row>
    <row r="763" spans="3:7" ht="15.75" customHeight="1" x14ac:dyDescent="0.2">
      <c r="D763" s="82"/>
      <c r="G763" s="37"/>
    </row>
    <row r="764" spans="3:7" ht="15.75" customHeight="1" x14ac:dyDescent="0.2">
      <c r="D764" s="82"/>
      <c r="G764" s="37"/>
    </row>
    <row r="765" spans="3:7" ht="15.75" customHeight="1" x14ac:dyDescent="0.2">
      <c r="D765" s="82"/>
      <c r="G765" s="37"/>
    </row>
    <row r="766" spans="3:7" ht="15.75" customHeight="1" x14ac:dyDescent="0.2">
      <c r="D766" s="82"/>
      <c r="G766" s="37"/>
    </row>
    <row r="767" spans="3:7" ht="15.75" customHeight="1" x14ac:dyDescent="0.2">
      <c r="D767" s="82"/>
      <c r="G767" s="37"/>
    </row>
    <row r="768" spans="3:7" ht="15.75" customHeight="1" x14ac:dyDescent="0.2">
      <c r="D768" s="82"/>
      <c r="G768" s="37"/>
    </row>
    <row r="769" spans="4:7" ht="15.75" customHeight="1" x14ac:dyDescent="0.2">
      <c r="D769" s="82"/>
      <c r="G769" s="37"/>
    </row>
    <row r="770" spans="4:7" ht="15.75" customHeight="1" x14ac:dyDescent="0.2">
      <c r="D770" s="82"/>
      <c r="G770" s="37"/>
    </row>
    <row r="771" spans="4:7" ht="15.75" customHeight="1" x14ac:dyDescent="0.2">
      <c r="D771" s="82"/>
      <c r="G771" s="37"/>
    </row>
    <row r="772" spans="4:7" ht="15.75" customHeight="1" x14ac:dyDescent="0.2">
      <c r="D772" s="82"/>
      <c r="G772" s="37"/>
    </row>
    <row r="773" spans="4:7" ht="15.75" customHeight="1" x14ac:dyDescent="0.2">
      <c r="D773" s="82"/>
      <c r="G773" s="37"/>
    </row>
    <row r="774" spans="4:7" ht="15.75" customHeight="1" x14ac:dyDescent="0.2">
      <c r="D774" s="82"/>
      <c r="G774" s="37"/>
    </row>
    <row r="775" spans="4:7" ht="15.75" customHeight="1" x14ac:dyDescent="0.2">
      <c r="D775" s="82"/>
      <c r="G775" s="37"/>
    </row>
    <row r="776" spans="4:7" ht="15.75" customHeight="1" x14ac:dyDescent="0.2">
      <c r="D776" s="82"/>
      <c r="G776" s="37"/>
    </row>
    <row r="777" spans="4:7" ht="15.75" customHeight="1" x14ac:dyDescent="0.2">
      <c r="D777" s="82"/>
      <c r="G777" s="37"/>
    </row>
    <row r="778" spans="4:7" ht="15.75" customHeight="1" x14ac:dyDescent="0.2">
      <c r="D778" s="82"/>
      <c r="G778" s="37"/>
    </row>
    <row r="779" spans="4:7" ht="15.75" customHeight="1" x14ac:dyDescent="0.2">
      <c r="D779" s="82"/>
      <c r="G779" s="37"/>
    </row>
    <row r="780" spans="4:7" ht="15.75" customHeight="1" x14ac:dyDescent="0.2">
      <c r="D780" s="82"/>
      <c r="G780" s="37"/>
    </row>
    <row r="781" spans="4:7" ht="15.75" customHeight="1" x14ac:dyDescent="0.2">
      <c r="D781" s="82"/>
      <c r="G781" s="37"/>
    </row>
    <row r="782" spans="4:7" ht="15.75" customHeight="1" x14ac:dyDescent="0.2">
      <c r="D782" s="82"/>
      <c r="G782" s="37"/>
    </row>
    <row r="783" spans="4:7" ht="15.75" customHeight="1" x14ac:dyDescent="0.2">
      <c r="D783" s="82"/>
      <c r="G783" s="37"/>
    </row>
    <row r="784" spans="4:7" ht="15.75" customHeight="1" x14ac:dyDescent="0.2">
      <c r="D784" s="82"/>
      <c r="G784" s="37"/>
    </row>
    <row r="785" spans="4:7" ht="15.75" customHeight="1" x14ac:dyDescent="0.2">
      <c r="D785" s="82"/>
      <c r="G785" s="37"/>
    </row>
    <row r="786" spans="4:7" ht="15.75" customHeight="1" x14ac:dyDescent="0.2">
      <c r="D786" s="82"/>
      <c r="G786" s="37"/>
    </row>
    <row r="787" spans="4:7" ht="15.75" customHeight="1" x14ac:dyDescent="0.2">
      <c r="D787" s="82"/>
      <c r="G787" s="37"/>
    </row>
    <row r="788" spans="4:7" ht="15.75" customHeight="1" x14ac:dyDescent="0.2">
      <c r="D788" s="82"/>
      <c r="G788" s="37"/>
    </row>
    <row r="789" spans="4:7" ht="15.75" customHeight="1" x14ac:dyDescent="0.2">
      <c r="D789" s="82"/>
      <c r="G789" s="37"/>
    </row>
    <row r="790" spans="4:7" ht="15.75" customHeight="1" x14ac:dyDescent="0.2">
      <c r="D790" s="82"/>
      <c r="G790" s="37"/>
    </row>
    <row r="791" spans="4:7" ht="15.75" customHeight="1" x14ac:dyDescent="0.2">
      <c r="D791" s="82"/>
      <c r="G791" s="37"/>
    </row>
    <row r="792" spans="4:7" ht="15.75" customHeight="1" x14ac:dyDescent="0.2">
      <c r="D792" s="82"/>
      <c r="G792" s="37"/>
    </row>
    <row r="793" spans="4:7" ht="15.75" customHeight="1" x14ac:dyDescent="0.2">
      <c r="D793" s="82"/>
      <c r="G793" s="37"/>
    </row>
    <row r="794" spans="4:7" ht="15.75" customHeight="1" x14ac:dyDescent="0.2">
      <c r="D794" s="82"/>
      <c r="G794" s="37"/>
    </row>
    <row r="795" spans="4:7" ht="15.75" customHeight="1" x14ac:dyDescent="0.2">
      <c r="D795" s="82"/>
      <c r="G795" s="37"/>
    </row>
    <row r="796" spans="4:7" ht="15.75" customHeight="1" x14ac:dyDescent="0.2">
      <c r="D796" s="82"/>
      <c r="G796" s="37"/>
    </row>
    <row r="797" spans="4:7" ht="15.75" customHeight="1" x14ac:dyDescent="0.2">
      <c r="D797" s="82"/>
      <c r="G797" s="37"/>
    </row>
    <row r="798" spans="4:7" ht="15.75" customHeight="1" x14ac:dyDescent="0.2">
      <c r="D798" s="82"/>
      <c r="G798" s="37"/>
    </row>
    <row r="799" spans="4:7" ht="15.75" customHeight="1" x14ac:dyDescent="0.2">
      <c r="D799" s="82"/>
      <c r="G799" s="37"/>
    </row>
    <row r="800" spans="4:7" ht="15.75" customHeight="1" x14ac:dyDescent="0.2">
      <c r="D800" s="82"/>
      <c r="G800" s="37"/>
    </row>
    <row r="801" spans="4:7" ht="15.75" customHeight="1" x14ac:dyDescent="0.2">
      <c r="D801" s="82"/>
      <c r="G801" s="37"/>
    </row>
    <row r="802" spans="4:7" ht="15.75" customHeight="1" x14ac:dyDescent="0.2">
      <c r="D802" s="82"/>
      <c r="G802" s="37"/>
    </row>
    <row r="803" spans="4:7" ht="15.75" customHeight="1" x14ac:dyDescent="0.2">
      <c r="D803" s="82"/>
      <c r="G803" s="37"/>
    </row>
    <row r="804" spans="4:7" ht="15.75" customHeight="1" x14ac:dyDescent="0.2">
      <c r="D804" s="82"/>
      <c r="G804" s="37"/>
    </row>
    <row r="805" spans="4:7" ht="15.75" customHeight="1" x14ac:dyDescent="0.2">
      <c r="D805" s="82"/>
      <c r="G805" s="37"/>
    </row>
    <row r="806" spans="4:7" ht="15.75" customHeight="1" x14ac:dyDescent="0.2">
      <c r="D806" s="82"/>
      <c r="G806" s="37"/>
    </row>
    <row r="807" spans="4:7" ht="15.75" customHeight="1" x14ac:dyDescent="0.2">
      <c r="D807" s="82"/>
      <c r="G807" s="37"/>
    </row>
    <row r="808" spans="4:7" ht="15.75" customHeight="1" x14ac:dyDescent="0.2">
      <c r="D808" s="82"/>
      <c r="G808" s="37"/>
    </row>
    <row r="809" spans="4:7" ht="15.75" customHeight="1" x14ac:dyDescent="0.2">
      <c r="D809" s="82"/>
      <c r="G809" s="37"/>
    </row>
    <row r="810" spans="4:7" ht="15.75" customHeight="1" x14ac:dyDescent="0.2">
      <c r="D810" s="82"/>
      <c r="G810" s="37"/>
    </row>
    <row r="811" spans="4:7" ht="15.75" customHeight="1" x14ac:dyDescent="0.2">
      <c r="D811" s="82"/>
      <c r="G811" s="37"/>
    </row>
    <row r="812" spans="4:7" ht="15.75" customHeight="1" x14ac:dyDescent="0.2">
      <c r="D812" s="82"/>
      <c r="G812" s="37"/>
    </row>
    <row r="813" spans="4:7" ht="15.75" customHeight="1" x14ac:dyDescent="0.2">
      <c r="D813" s="82"/>
      <c r="G813" s="37"/>
    </row>
    <row r="814" spans="4:7" ht="15.75" customHeight="1" x14ac:dyDescent="0.2">
      <c r="D814" s="82"/>
      <c r="G814" s="37"/>
    </row>
    <row r="815" spans="4:7" ht="15.75" customHeight="1" x14ac:dyDescent="0.2">
      <c r="D815" s="82"/>
      <c r="G815" s="37"/>
    </row>
    <row r="816" spans="4:7" ht="15.75" customHeight="1" x14ac:dyDescent="0.2">
      <c r="D816" s="82"/>
      <c r="G816" s="37"/>
    </row>
    <row r="817" spans="4:7" ht="15.75" customHeight="1" x14ac:dyDescent="0.2">
      <c r="D817" s="82"/>
      <c r="G817" s="37"/>
    </row>
    <row r="818" spans="4:7" ht="15.75" customHeight="1" x14ac:dyDescent="0.2">
      <c r="D818" s="82"/>
      <c r="G818" s="37"/>
    </row>
    <row r="819" spans="4:7" ht="15.75" customHeight="1" x14ac:dyDescent="0.2">
      <c r="D819" s="82"/>
      <c r="G819" s="37"/>
    </row>
    <row r="820" spans="4:7" ht="15.75" customHeight="1" x14ac:dyDescent="0.2">
      <c r="D820" s="82"/>
      <c r="G820" s="37"/>
    </row>
    <row r="821" spans="4:7" ht="15.75" customHeight="1" x14ac:dyDescent="0.2">
      <c r="D821" s="82"/>
      <c r="G821" s="37"/>
    </row>
    <row r="822" spans="4:7" ht="15.75" customHeight="1" x14ac:dyDescent="0.2">
      <c r="D822" s="82"/>
      <c r="G822" s="37"/>
    </row>
    <row r="823" spans="4:7" ht="15.75" customHeight="1" x14ac:dyDescent="0.2">
      <c r="D823" s="82"/>
      <c r="G823" s="37"/>
    </row>
    <row r="824" spans="4:7" ht="15.75" customHeight="1" x14ac:dyDescent="0.2">
      <c r="D824" s="82"/>
      <c r="G824" s="37"/>
    </row>
    <row r="825" spans="4:7" ht="15.75" customHeight="1" x14ac:dyDescent="0.2">
      <c r="D825" s="82"/>
      <c r="G825" s="37"/>
    </row>
    <row r="826" spans="4:7" ht="15.75" customHeight="1" x14ac:dyDescent="0.2">
      <c r="D826" s="82"/>
      <c r="G826" s="37"/>
    </row>
    <row r="827" spans="4:7" ht="15.75" customHeight="1" x14ac:dyDescent="0.2">
      <c r="D827" s="82"/>
      <c r="G827" s="37"/>
    </row>
    <row r="828" spans="4:7" ht="15.75" customHeight="1" x14ac:dyDescent="0.2">
      <c r="D828" s="82"/>
      <c r="G828" s="37"/>
    </row>
    <row r="829" spans="4:7" ht="15.75" customHeight="1" x14ac:dyDescent="0.2">
      <c r="D829" s="82"/>
      <c r="G829" s="37"/>
    </row>
    <row r="830" spans="4:7" ht="15.75" customHeight="1" x14ac:dyDescent="0.2">
      <c r="D830" s="82"/>
      <c r="G830" s="37"/>
    </row>
    <row r="831" spans="4:7" ht="15.75" customHeight="1" x14ac:dyDescent="0.2">
      <c r="D831" s="82"/>
      <c r="G831" s="37"/>
    </row>
    <row r="832" spans="4:7" ht="15.75" customHeight="1" x14ac:dyDescent="0.2">
      <c r="D832" s="82"/>
      <c r="G832" s="37"/>
    </row>
    <row r="833" spans="4:7" ht="15.75" customHeight="1" x14ac:dyDescent="0.2">
      <c r="D833" s="82"/>
      <c r="G833" s="37"/>
    </row>
    <row r="834" spans="4:7" ht="15.75" customHeight="1" x14ac:dyDescent="0.2">
      <c r="D834" s="82"/>
      <c r="G834" s="37"/>
    </row>
    <row r="835" spans="4:7" ht="15.75" customHeight="1" x14ac:dyDescent="0.2">
      <c r="D835" s="82"/>
      <c r="G835" s="37"/>
    </row>
    <row r="836" spans="4:7" ht="15.75" customHeight="1" x14ac:dyDescent="0.2">
      <c r="D836" s="82"/>
      <c r="G836" s="37"/>
    </row>
    <row r="837" spans="4:7" ht="15.75" customHeight="1" x14ac:dyDescent="0.2">
      <c r="D837" s="82"/>
      <c r="G837" s="37"/>
    </row>
    <row r="838" spans="4:7" ht="15.75" customHeight="1" x14ac:dyDescent="0.2">
      <c r="D838" s="82"/>
      <c r="G838" s="37"/>
    </row>
    <row r="839" spans="4:7" ht="15.75" customHeight="1" x14ac:dyDescent="0.2">
      <c r="D839" s="82"/>
      <c r="G839" s="37"/>
    </row>
    <row r="840" spans="4:7" ht="15.75" customHeight="1" x14ac:dyDescent="0.2">
      <c r="D840" s="82"/>
      <c r="G840" s="37"/>
    </row>
    <row r="841" spans="4:7" ht="15.75" customHeight="1" x14ac:dyDescent="0.2">
      <c r="D841" s="82"/>
      <c r="G841" s="37"/>
    </row>
    <row r="842" spans="4:7" ht="15.75" customHeight="1" x14ac:dyDescent="0.2">
      <c r="D842" s="82"/>
      <c r="G842" s="37"/>
    </row>
    <row r="843" spans="4:7" ht="15.75" customHeight="1" x14ac:dyDescent="0.2">
      <c r="D843" s="82"/>
      <c r="G843" s="37"/>
    </row>
    <row r="844" spans="4:7" ht="15.75" customHeight="1" x14ac:dyDescent="0.2">
      <c r="D844" s="82"/>
      <c r="G844" s="37"/>
    </row>
    <row r="845" spans="4:7" ht="15.75" customHeight="1" x14ac:dyDescent="0.2">
      <c r="D845" s="82"/>
      <c r="G845" s="37"/>
    </row>
    <row r="846" spans="4:7" ht="15.75" customHeight="1" x14ac:dyDescent="0.2">
      <c r="D846" s="82"/>
      <c r="G846" s="37"/>
    </row>
    <row r="847" spans="4:7" ht="15.75" customHeight="1" x14ac:dyDescent="0.2">
      <c r="D847" s="82"/>
      <c r="G847" s="37"/>
    </row>
    <row r="848" spans="4:7" ht="15.75" customHeight="1" x14ac:dyDescent="0.2">
      <c r="D848" s="82"/>
      <c r="G848" s="37"/>
    </row>
    <row r="849" spans="4:7" ht="15.75" customHeight="1" x14ac:dyDescent="0.2">
      <c r="D849" s="82"/>
      <c r="G849" s="37"/>
    </row>
    <row r="850" spans="4:7" ht="15.75" customHeight="1" x14ac:dyDescent="0.2">
      <c r="D850" s="82"/>
      <c r="G850" s="37"/>
    </row>
    <row r="851" spans="4:7" ht="15.75" customHeight="1" x14ac:dyDescent="0.2">
      <c r="D851" s="82"/>
      <c r="G851" s="37"/>
    </row>
    <row r="852" spans="4:7" ht="15.75" customHeight="1" x14ac:dyDescent="0.2">
      <c r="D852" s="82"/>
      <c r="G852" s="37"/>
    </row>
    <row r="853" spans="4:7" ht="15.75" customHeight="1" x14ac:dyDescent="0.2">
      <c r="D853" s="82"/>
      <c r="G853" s="37"/>
    </row>
    <row r="854" spans="4:7" ht="15.75" customHeight="1" x14ac:dyDescent="0.2">
      <c r="D854" s="82"/>
      <c r="G854" s="37"/>
    </row>
    <row r="855" spans="4:7" ht="15.75" customHeight="1" x14ac:dyDescent="0.2">
      <c r="D855" s="82"/>
      <c r="G855" s="37"/>
    </row>
    <row r="856" spans="4:7" ht="15.75" customHeight="1" x14ac:dyDescent="0.2">
      <c r="D856" s="82"/>
      <c r="G856" s="37"/>
    </row>
    <row r="857" spans="4:7" ht="15.75" customHeight="1" x14ac:dyDescent="0.2">
      <c r="D857" s="82"/>
      <c r="G857" s="37"/>
    </row>
    <row r="858" spans="4:7" ht="15.75" customHeight="1" x14ac:dyDescent="0.2">
      <c r="D858" s="82"/>
      <c r="G858" s="37"/>
    </row>
    <row r="859" spans="4:7" ht="15.75" customHeight="1" x14ac:dyDescent="0.2">
      <c r="D859" s="82"/>
      <c r="G859" s="37"/>
    </row>
    <row r="860" spans="4:7" ht="15.75" customHeight="1" x14ac:dyDescent="0.2">
      <c r="D860" s="82"/>
      <c r="G860" s="37"/>
    </row>
    <row r="861" spans="4:7" ht="15.75" customHeight="1" x14ac:dyDescent="0.2">
      <c r="D861" s="82"/>
      <c r="G861" s="37"/>
    </row>
    <row r="862" spans="4:7" ht="15.75" customHeight="1" x14ac:dyDescent="0.2">
      <c r="D862" s="82"/>
      <c r="G862" s="37"/>
    </row>
    <row r="863" spans="4:7" ht="15.75" customHeight="1" x14ac:dyDescent="0.2">
      <c r="D863" s="82"/>
      <c r="G863" s="37"/>
    </row>
    <row r="864" spans="4:7" ht="15.75" customHeight="1" x14ac:dyDescent="0.2">
      <c r="D864" s="82"/>
      <c r="G864" s="37"/>
    </row>
    <row r="865" spans="4:7" ht="15.75" customHeight="1" x14ac:dyDescent="0.2">
      <c r="D865" s="82"/>
      <c r="G865" s="37"/>
    </row>
    <row r="866" spans="4:7" ht="15.75" customHeight="1" x14ac:dyDescent="0.2">
      <c r="D866" s="82"/>
      <c r="G866" s="37"/>
    </row>
    <row r="867" spans="4:7" ht="15.75" customHeight="1" x14ac:dyDescent="0.2">
      <c r="D867" s="82"/>
      <c r="G867" s="37"/>
    </row>
    <row r="868" spans="4:7" ht="15.75" customHeight="1" x14ac:dyDescent="0.2">
      <c r="D868" s="82"/>
      <c r="G868" s="37"/>
    </row>
    <row r="869" spans="4:7" ht="15.75" customHeight="1" x14ac:dyDescent="0.2">
      <c r="D869" s="82"/>
      <c r="G869" s="37"/>
    </row>
    <row r="870" spans="4:7" ht="15.75" customHeight="1" x14ac:dyDescent="0.2">
      <c r="D870" s="82"/>
      <c r="G870" s="37"/>
    </row>
    <row r="871" spans="4:7" ht="15.75" customHeight="1" x14ac:dyDescent="0.2">
      <c r="D871" s="82"/>
      <c r="G871" s="37"/>
    </row>
    <row r="872" spans="4:7" ht="15.75" customHeight="1" x14ac:dyDescent="0.2">
      <c r="D872" s="82"/>
      <c r="G872" s="37"/>
    </row>
    <row r="873" spans="4:7" ht="15.75" customHeight="1" x14ac:dyDescent="0.2">
      <c r="D873" s="82"/>
      <c r="G873" s="37"/>
    </row>
    <row r="874" spans="4:7" ht="15.75" customHeight="1" x14ac:dyDescent="0.2">
      <c r="D874" s="82"/>
      <c r="G874" s="37"/>
    </row>
    <row r="875" spans="4:7" ht="15.75" customHeight="1" x14ac:dyDescent="0.2">
      <c r="D875" s="82"/>
      <c r="G875" s="37"/>
    </row>
    <row r="876" spans="4:7" ht="15.75" customHeight="1" x14ac:dyDescent="0.2">
      <c r="D876" s="82"/>
      <c r="G876" s="37"/>
    </row>
    <row r="877" spans="4:7" ht="15.75" customHeight="1" x14ac:dyDescent="0.2">
      <c r="D877" s="82"/>
      <c r="G877" s="37"/>
    </row>
    <row r="878" spans="4:7" ht="15.75" customHeight="1" x14ac:dyDescent="0.2">
      <c r="D878" s="82"/>
      <c r="G878" s="37"/>
    </row>
    <row r="879" spans="4:7" ht="15.75" customHeight="1" x14ac:dyDescent="0.2">
      <c r="D879" s="82"/>
      <c r="G879" s="37"/>
    </row>
    <row r="880" spans="4:7" ht="15.75" customHeight="1" x14ac:dyDescent="0.2">
      <c r="D880" s="82"/>
      <c r="G880" s="37"/>
    </row>
    <row r="881" spans="4:7" ht="15.75" customHeight="1" x14ac:dyDescent="0.2">
      <c r="D881" s="82"/>
      <c r="G881" s="37"/>
    </row>
    <row r="882" spans="4:7" ht="15.75" customHeight="1" x14ac:dyDescent="0.2">
      <c r="D882" s="82"/>
      <c r="G882" s="37"/>
    </row>
    <row r="883" spans="4:7" ht="15.75" customHeight="1" x14ac:dyDescent="0.2">
      <c r="D883" s="82"/>
      <c r="G883" s="37"/>
    </row>
    <row r="884" spans="4:7" ht="15.75" customHeight="1" x14ac:dyDescent="0.2">
      <c r="D884" s="82"/>
      <c r="G884" s="37"/>
    </row>
    <row r="885" spans="4:7" ht="15.75" customHeight="1" x14ac:dyDescent="0.2">
      <c r="D885" s="82"/>
      <c r="G885" s="37"/>
    </row>
    <row r="886" spans="4:7" ht="15.75" customHeight="1" x14ac:dyDescent="0.2">
      <c r="D886" s="82"/>
      <c r="G886" s="37"/>
    </row>
    <row r="887" spans="4:7" ht="15.75" customHeight="1" x14ac:dyDescent="0.2">
      <c r="D887" s="82"/>
      <c r="G887" s="37"/>
    </row>
    <row r="888" spans="4:7" ht="15.75" customHeight="1" x14ac:dyDescent="0.2">
      <c r="D888" s="82"/>
      <c r="G888" s="37"/>
    </row>
    <row r="889" spans="4:7" ht="15.75" customHeight="1" x14ac:dyDescent="0.2">
      <c r="D889" s="82"/>
      <c r="G889" s="37"/>
    </row>
    <row r="890" spans="4:7" ht="15.75" customHeight="1" x14ac:dyDescent="0.2">
      <c r="D890" s="82"/>
      <c r="G890" s="37"/>
    </row>
    <row r="891" spans="4:7" ht="15.75" customHeight="1" x14ac:dyDescent="0.2">
      <c r="D891" s="82"/>
      <c r="G891" s="37"/>
    </row>
    <row r="892" spans="4:7" ht="15.75" customHeight="1" x14ac:dyDescent="0.2">
      <c r="D892" s="82"/>
      <c r="G892" s="37"/>
    </row>
    <row r="893" spans="4:7" ht="15.75" customHeight="1" x14ac:dyDescent="0.2">
      <c r="D893" s="82"/>
      <c r="G893" s="37"/>
    </row>
    <row r="894" spans="4:7" ht="15.75" customHeight="1" x14ac:dyDescent="0.2">
      <c r="D894" s="82"/>
      <c r="G894" s="37"/>
    </row>
    <row r="895" spans="4:7" ht="15.75" customHeight="1" x14ac:dyDescent="0.2">
      <c r="D895" s="82"/>
      <c r="G895" s="37"/>
    </row>
    <row r="896" spans="4:7" ht="15.75" customHeight="1" x14ac:dyDescent="0.2">
      <c r="D896" s="82"/>
      <c r="G896" s="37"/>
    </row>
    <row r="897" spans="4:7" ht="15.75" customHeight="1" x14ac:dyDescent="0.2">
      <c r="D897" s="82"/>
      <c r="G897" s="37"/>
    </row>
    <row r="898" spans="4:7" ht="15.75" customHeight="1" x14ac:dyDescent="0.2">
      <c r="D898" s="82"/>
      <c r="G898" s="37"/>
    </row>
    <row r="899" spans="4:7" ht="15.75" customHeight="1" x14ac:dyDescent="0.2">
      <c r="D899" s="82"/>
      <c r="G899" s="37"/>
    </row>
    <row r="900" spans="4:7" ht="15.75" customHeight="1" x14ac:dyDescent="0.2">
      <c r="D900" s="82"/>
      <c r="G900" s="37"/>
    </row>
    <row r="901" spans="4:7" ht="15.75" customHeight="1" x14ac:dyDescent="0.2">
      <c r="D901" s="82"/>
      <c r="G901" s="37"/>
    </row>
    <row r="902" spans="4:7" ht="15.75" customHeight="1" x14ac:dyDescent="0.2">
      <c r="D902" s="82"/>
      <c r="G902" s="37"/>
    </row>
    <row r="903" spans="4:7" ht="15.75" customHeight="1" x14ac:dyDescent="0.2">
      <c r="D903" s="82"/>
      <c r="G903" s="37"/>
    </row>
    <row r="904" spans="4:7" ht="15.75" customHeight="1" x14ac:dyDescent="0.2">
      <c r="D904" s="82"/>
      <c r="G904" s="37"/>
    </row>
    <row r="905" spans="4:7" ht="15.75" customHeight="1" x14ac:dyDescent="0.2">
      <c r="D905" s="82"/>
      <c r="G905" s="37"/>
    </row>
    <row r="906" spans="4:7" ht="15.75" customHeight="1" x14ac:dyDescent="0.2">
      <c r="D906" s="82"/>
      <c r="G906" s="37"/>
    </row>
    <row r="907" spans="4:7" ht="15.75" customHeight="1" x14ac:dyDescent="0.2">
      <c r="D907" s="82"/>
      <c r="G907" s="37"/>
    </row>
    <row r="908" spans="4:7" ht="15.75" customHeight="1" x14ac:dyDescent="0.2">
      <c r="D908" s="82"/>
      <c r="G908" s="37"/>
    </row>
    <row r="909" spans="4:7" ht="15.75" customHeight="1" x14ac:dyDescent="0.2">
      <c r="D909" s="82"/>
      <c r="G909" s="37"/>
    </row>
    <row r="910" spans="4:7" ht="15.75" customHeight="1" x14ac:dyDescent="0.2">
      <c r="D910" s="82"/>
      <c r="G910" s="37"/>
    </row>
    <row r="911" spans="4:7" ht="15.75" customHeight="1" x14ac:dyDescent="0.2">
      <c r="D911" s="82"/>
      <c r="G911" s="37"/>
    </row>
    <row r="912" spans="4:7" ht="15.75" customHeight="1" x14ac:dyDescent="0.2">
      <c r="D912" s="82"/>
      <c r="G912" s="37"/>
    </row>
    <row r="913" spans="4:7" ht="15.75" customHeight="1" x14ac:dyDescent="0.2">
      <c r="D913" s="82"/>
      <c r="G913" s="37"/>
    </row>
    <row r="914" spans="4:7" ht="15.75" customHeight="1" x14ac:dyDescent="0.2">
      <c r="D914" s="82"/>
      <c r="G914" s="37"/>
    </row>
    <row r="915" spans="4:7" ht="15.75" customHeight="1" x14ac:dyDescent="0.2">
      <c r="D915" s="82"/>
      <c r="G915" s="37"/>
    </row>
    <row r="916" spans="4:7" ht="15.75" customHeight="1" x14ac:dyDescent="0.2">
      <c r="D916" s="82"/>
      <c r="G916" s="37"/>
    </row>
    <row r="917" spans="4:7" ht="15.75" customHeight="1" x14ac:dyDescent="0.2">
      <c r="D917" s="82"/>
      <c r="G917" s="37"/>
    </row>
    <row r="918" spans="4:7" ht="15.75" customHeight="1" x14ac:dyDescent="0.2">
      <c r="D918" s="82"/>
      <c r="G918" s="37"/>
    </row>
    <row r="919" spans="4:7" ht="15.75" customHeight="1" x14ac:dyDescent="0.2">
      <c r="D919" s="82"/>
      <c r="G919" s="37"/>
    </row>
    <row r="920" spans="4:7" ht="15.75" customHeight="1" x14ac:dyDescent="0.2">
      <c r="D920" s="82"/>
      <c r="G920" s="37"/>
    </row>
    <row r="921" spans="4:7" ht="15.75" customHeight="1" x14ac:dyDescent="0.2">
      <c r="D921" s="82"/>
      <c r="G921" s="37"/>
    </row>
    <row r="922" spans="4:7" ht="15.75" customHeight="1" x14ac:dyDescent="0.2">
      <c r="D922" s="82"/>
      <c r="G922" s="37"/>
    </row>
    <row r="923" spans="4:7" ht="15.75" customHeight="1" x14ac:dyDescent="0.2">
      <c r="D923" s="82"/>
      <c r="G923" s="37"/>
    </row>
    <row r="924" spans="4:7" ht="15.75" customHeight="1" x14ac:dyDescent="0.2">
      <c r="D924" s="82"/>
      <c r="G924" s="37"/>
    </row>
    <row r="925" spans="4:7" ht="15.75" customHeight="1" x14ac:dyDescent="0.2">
      <c r="D925" s="82"/>
      <c r="G925" s="37"/>
    </row>
    <row r="926" spans="4:7" ht="15.75" customHeight="1" x14ac:dyDescent="0.2">
      <c r="D926" s="82"/>
      <c r="G926" s="37"/>
    </row>
    <row r="927" spans="4:7" ht="15.75" customHeight="1" x14ac:dyDescent="0.2">
      <c r="D927" s="82"/>
      <c r="G927" s="37"/>
    </row>
    <row r="928" spans="4:7" ht="15.75" customHeight="1" x14ac:dyDescent="0.2">
      <c r="D928" s="82"/>
      <c r="G928" s="37"/>
    </row>
    <row r="929" spans="4:7" ht="15.75" customHeight="1" x14ac:dyDescent="0.2">
      <c r="D929" s="82"/>
      <c r="G929" s="37"/>
    </row>
    <row r="930" spans="4:7" ht="15.75" customHeight="1" x14ac:dyDescent="0.2">
      <c r="D930" s="82"/>
      <c r="G930" s="37"/>
    </row>
    <row r="931" spans="4:7" ht="15.75" customHeight="1" x14ac:dyDescent="0.2">
      <c r="D931" s="82"/>
      <c r="G931" s="37"/>
    </row>
    <row r="932" spans="4:7" ht="15.75" customHeight="1" x14ac:dyDescent="0.2">
      <c r="D932" s="82"/>
      <c r="G932" s="37"/>
    </row>
    <row r="933" spans="4:7" ht="15.75" customHeight="1" x14ac:dyDescent="0.2">
      <c r="D933" s="82"/>
      <c r="G933" s="37"/>
    </row>
    <row r="934" spans="4:7" ht="15.75" customHeight="1" x14ac:dyDescent="0.2">
      <c r="D934" s="82"/>
      <c r="G934" s="37"/>
    </row>
    <row r="935" spans="4:7" ht="15.75" customHeight="1" x14ac:dyDescent="0.2">
      <c r="D935" s="82"/>
      <c r="G935" s="37"/>
    </row>
    <row r="936" spans="4:7" ht="15.75" customHeight="1" x14ac:dyDescent="0.2">
      <c r="D936" s="82"/>
      <c r="G936" s="37"/>
    </row>
    <row r="937" spans="4:7" ht="15.75" customHeight="1" x14ac:dyDescent="0.2">
      <c r="D937" s="82"/>
      <c r="G937" s="37"/>
    </row>
    <row r="938" spans="4:7" ht="15.75" customHeight="1" x14ac:dyDescent="0.2">
      <c r="D938" s="82"/>
      <c r="G938" s="37"/>
    </row>
    <row r="939" spans="4:7" ht="15.75" customHeight="1" x14ac:dyDescent="0.2">
      <c r="D939" s="82"/>
      <c r="G939" s="37"/>
    </row>
    <row r="940" spans="4:7" ht="15.75" customHeight="1" x14ac:dyDescent="0.2">
      <c r="D940" s="82"/>
      <c r="G940" s="37"/>
    </row>
    <row r="941" spans="4:7" ht="15.75" customHeight="1" x14ac:dyDescent="0.2">
      <c r="D941" s="82"/>
      <c r="G941" s="37"/>
    </row>
    <row r="942" spans="4:7" ht="15.75" customHeight="1" x14ac:dyDescent="0.2">
      <c r="D942" s="82"/>
      <c r="G942" s="37"/>
    </row>
    <row r="943" spans="4:7" ht="15.75" customHeight="1" x14ac:dyDescent="0.2">
      <c r="D943" s="82"/>
      <c r="G943" s="37"/>
    </row>
    <row r="944" spans="4:7" ht="15.75" customHeight="1" x14ac:dyDescent="0.2">
      <c r="D944" s="82"/>
      <c r="G944" s="37"/>
    </row>
    <row r="945" spans="4:7" ht="15.75" customHeight="1" x14ac:dyDescent="0.2">
      <c r="D945" s="82"/>
      <c r="G945" s="37"/>
    </row>
    <row r="946" spans="4:7" ht="15.75" customHeight="1" x14ac:dyDescent="0.2">
      <c r="D946" s="82"/>
      <c r="G946" s="37"/>
    </row>
    <row r="947" spans="4:7" ht="15.75" customHeight="1" x14ac:dyDescent="0.2">
      <c r="D947" s="82"/>
      <c r="G947" s="37"/>
    </row>
    <row r="948" spans="4:7" ht="15.75" customHeight="1" x14ac:dyDescent="0.2">
      <c r="D948" s="82"/>
      <c r="G948" s="37"/>
    </row>
    <row r="949" spans="4:7" ht="15.75" customHeight="1" x14ac:dyDescent="0.2">
      <c r="D949" s="82"/>
      <c r="G949" s="37"/>
    </row>
    <row r="950" spans="4:7" ht="15.75" customHeight="1" x14ac:dyDescent="0.2">
      <c r="D950" s="82"/>
      <c r="G950" s="37"/>
    </row>
    <row r="951" spans="4:7" ht="15.75" customHeight="1" x14ac:dyDescent="0.2">
      <c r="D951" s="82"/>
      <c r="G951" s="37"/>
    </row>
    <row r="952" spans="4:7" ht="15.75" customHeight="1" x14ac:dyDescent="0.2">
      <c r="D952" s="82"/>
      <c r="G952" s="37"/>
    </row>
    <row r="953" spans="4:7" ht="15.75" customHeight="1" x14ac:dyDescent="0.2">
      <c r="D953" s="82"/>
      <c r="G953" s="37"/>
    </row>
    <row r="954" spans="4:7" ht="15.75" customHeight="1" x14ac:dyDescent="0.2">
      <c r="D954" s="82"/>
      <c r="G954" s="37"/>
    </row>
    <row r="955" spans="4:7" ht="15.75" customHeight="1" x14ac:dyDescent="0.2">
      <c r="D955" s="82"/>
      <c r="G955" s="37"/>
    </row>
    <row r="956" spans="4:7" ht="15.75" customHeight="1" x14ac:dyDescent="0.2">
      <c r="D956" s="82"/>
      <c r="G956" s="37"/>
    </row>
    <row r="957" spans="4:7" ht="15.75" customHeight="1" x14ac:dyDescent="0.2">
      <c r="D957" s="82"/>
      <c r="G957" s="37"/>
    </row>
    <row r="958" spans="4:7" ht="15.75" customHeight="1" x14ac:dyDescent="0.2">
      <c r="D958" s="82"/>
      <c r="G958" s="37"/>
    </row>
    <row r="959" spans="4:7" ht="15.75" customHeight="1" x14ac:dyDescent="0.2">
      <c r="D959" s="82"/>
      <c r="G959" s="37"/>
    </row>
    <row r="960" spans="4:7" ht="15.75" customHeight="1" x14ac:dyDescent="0.2">
      <c r="D960" s="82"/>
      <c r="G960" s="37"/>
    </row>
    <row r="961" spans="4:7" ht="15.75" customHeight="1" x14ac:dyDescent="0.2">
      <c r="D961" s="82"/>
      <c r="G961" s="37"/>
    </row>
    <row r="962" spans="4:7" ht="15.75" customHeight="1" x14ac:dyDescent="0.2">
      <c r="D962" s="82"/>
      <c r="G962" s="37"/>
    </row>
    <row r="963" spans="4:7" ht="15.75" customHeight="1" x14ac:dyDescent="0.2">
      <c r="D963" s="82"/>
      <c r="G963" s="37"/>
    </row>
    <row r="964" spans="4:7" ht="15.75" customHeight="1" x14ac:dyDescent="0.2">
      <c r="D964" s="82"/>
      <c r="G964" s="37"/>
    </row>
    <row r="965" spans="4:7" ht="15.75" customHeight="1" x14ac:dyDescent="0.2">
      <c r="D965" s="82"/>
      <c r="G965" s="37"/>
    </row>
    <row r="966" spans="4:7" ht="15.75" customHeight="1" x14ac:dyDescent="0.2">
      <c r="D966" s="82"/>
      <c r="G966" s="37"/>
    </row>
    <row r="967" spans="4:7" ht="15.75" customHeight="1" x14ac:dyDescent="0.2">
      <c r="D967" s="82"/>
      <c r="G967" s="37"/>
    </row>
    <row r="968" spans="4:7" ht="15.75" customHeight="1" x14ac:dyDescent="0.2">
      <c r="D968" s="82"/>
      <c r="G968" s="37"/>
    </row>
    <row r="969" spans="4:7" ht="15.75" customHeight="1" x14ac:dyDescent="0.2">
      <c r="D969" s="82"/>
      <c r="G969" s="37"/>
    </row>
    <row r="970" spans="4:7" ht="15.75" customHeight="1" x14ac:dyDescent="0.2">
      <c r="D970" s="82"/>
      <c r="G970" s="37"/>
    </row>
    <row r="971" spans="4:7" ht="15.75" customHeight="1" x14ac:dyDescent="0.2">
      <c r="D971" s="82"/>
      <c r="G971" s="37"/>
    </row>
    <row r="972" spans="4:7" ht="15.75" customHeight="1" x14ac:dyDescent="0.2">
      <c r="D972" s="82"/>
      <c r="G972" s="37"/>
    </row>
    <row r="973" spans="4:7" ht="15.75" customHeight="1" x14ac:dyDescent="0.2">
      <c r="D973" s="82"/>
      <c r="G973" s="37"/>
    </row>
    <row r="974" spans="4:7" ht="15.75" customHeight="1" x14ac:dyDescent="0.2">
      <c r="D974" s="82"/>
      <c r="G974" s="37"/>
    </row>
    <row r="975" spans="4:7" ht="15.75" customHeight="1" x14ac:dyDescent="0.2">
      <c r="D975" s="82"/>
      <c r="G975" s="37"/>
    </row>
    <row r="976" spans="4:7" ht="15.75" customHeight="1" x14ac:dyDescent="0.2">
      <c r="D976" s="82"/>
      <c r="G976" s="37"/>
    </row>
    <row r="977" spans="4:7" ht="15.75" customHeight="1" x14ac:dyDescent="0.2">
      <c r="D977" s="82"/>
      <c r="G977" s="37"/>
    </row>
    <row r="978" spans="4:7" ht="15.75" customHeight="1" x14ac:dyDescent="0.2">
      <c r="D978" s="82"/>
      <c r="G978" s="37"/>
    </row>
    <row r="979" spans="4:7" ht="15.75" customHeight="1" x14ac:dyDescent="0.2">
      <c r="D979" s="82"/>
      <c r="G979" s="37"/>
    </row>
    <row r="980" spans="4:7" ht="15.75" customHeight="1" x14ac:dyDescent="0.2">
      <c r="D980" s="82"/>
      <c r="G980" s="37"/>
    </row>
    <row r="981" spans="4:7" ht="15.75" customHeight="1" x14ac:dyDescent="0.2">
      <c r="D981" s="82"/>
      <c r="G981" s="37"/>
    </row>
    <row r="982" spans="4:7" ht="15.75" customHeight="1" x14ac:dyDescent="0.2">
      <c r="D982" s="82"/>
      <c r="G982" s="37"/>
    </row>
    <row r="983" spans="4:7" ht="15.75" customHeight="1" x14ac:dyDescent="0.2">
      <c r="D983" s="82"/>
      <c r="G983" s="37"/>
    </row>
    <row r="984" spans="4:7" ht="15.75" customHeight="1" x14ac:dyDescent="0.2">
      <c r="D984" s="82"/>
      <c r="G984" s="37"/>
    </row>
    <row r="985" spans="4:7" ht="15.75" customHeight="1" x14ac:dyDescent="0.2">
      <c r="D985" s="82"/>
      <c r="G985" s="37"/>
    </row>
    <row r="986" spans="4:7" ht="15.75" customHeight="1" x14ac:dyDescent="0.2">
      <c r="D986" s="82"/>
      <c r="G986" s="37"/>
    </row>
    <row r="987" spans="4:7" ht="15.75" customHeight="1" x14ac:dyDescent="0.2">
      <c r="D987" s="82"/>
      <c r="G987" s="37"/>
    </row>
    <row r="988" spans="4:7" ht="15.75" customHeight="1" x14ac:dyDescent="0.2">
      <c r="D988" s="82"/>
      <c r="G988" s="37"/>
    </row>
    <row r="989" spans="4:7" ht="15.75" customHeight="1" x14ac:dyDescent="0.2">
      <c r="D989" s="82"/>
      <c r="G989" s="37"/>
    </row>
    <row r="990" spans="4:7" ht="15.75" customHeight="1" x14ac:dyDescent="0.2">
      <c r="D990" s="82"/>
      <c r="G990" s="37"/>
    </row>
    <row r="991" spans="4:7" ht="15.75" customHeight="1" x14ac:dyDescent="0.2">
      <c r="D991" s="82"/>
      <c r="G991" s="37"/>
    </row>
    <row r="992" spans="4:7" ht="15.75" customHeight="1" x14ac:dyDescent="0.2">
      <c r="D992" s="82"/>
      <c r="G992" s="37"/>
    </row>
    <row r="993" spans="4:7" ht="15.75" customHeight="1" x14ac:dyDescent="0.2">
      <c r="D993" s="82"/>
      <c r="G993" s="37"/>
    </row>
    <row r="994" spans="4:7" ht="15.75" customHeight="1" x14ac:dyDescent="0.2">
      <c r="D994" s="82"/>
      <c r="G994" s="37"/>
    </row>
    <row r="995" spans="4:7" ht="15.75" customHeight="1" x14ac:dyDescent="0.2">
      <c r="D995" s="82"/>
      <c r="G995" s="37"/>
    </row>
    <row r="996" spans="4:7" ht="15.75" customHeight="1" x14ac:dyDescent="0.2">
      <c r="D996" s="82"/>
      <c r="G996" s="37"/>
    </row>
    <row r="997" spans="4:7" ht="15.75" customHeight="1" x14ac:dyDescent="0.2">
      <c r="D997" s="82"/>
      <c r="G997" s="37"/>
    </row>
    <row r="998" spans="4:7" ht="15.75" customHeight="1" x14ac:dyDescent="0.2">
      <c r="D998" s="82"/>
      <c r="G998" s="37"/>
    </row>
    <row r="999" spans="4:7" ht="15.75" customHeight="1" x14ac:dyDescent="0.2">
      <c r="D999" s="82"/>
      <c r="G999" s="37"/>
    </row>
    <row r="1000" spans="4:7" ht="15.75" customHeight="1" x14ac:dyDescent="0.2">
      <c r="D1000" s="82"/>
      <c r="G1000" s="37"/>
    </row>
    <row r="1001" spans="4:7" ht="15.75" customHeight="1" x14ac:dyDescent="0.2">
      <c r="D1001" s="82"/>
      <c r="G1001" s="37"/>
    </row>
    <row r="1002" spans="4:7" ht="15.75" customHeight="1" x14ac:dyDescent="0.2">
      <c r="D1002" s="82"/>
      <c r="G1002" s="37"/>
    </row>
    <row r="1003" spans="4:7" ht="15.75" customHeight="1" x14ac:dyDescent="0.2">
      <c r="D1003" s="82"/>
      <c r="G1003" s="37"/>
    </row>
    <row r="1004" spans="4:7" ht="15.75" customHeight="1" x14ac:dyDescent="0.2">
      <c r="D1004" s="82"/>
      <c r="G1004" s="37"/>
    </row>
    <row r="1005" spans="4:7" ht="15.75" customHeight="1" x14ac:dyDescent="0.2">
      <c r="D1005" s="82"/>
      <c r="G1005" s="37"/>
    </row>
    <row r="1006" spans="4:7" ht="15.75" customHeight="1" x14ac:dyDescent="0.2">
      <c r="D1006" s="82"/>
      <c r="G1006" s="37"/>
    </row>
    <row r="1007" spans="4:7" ht="15.75" customHeight="1" x14ac:dyDescent="0.2">
      <c r="D1007" s="82"/>
      <c r="G1007" s="37"/>
    </row>
    <row r="1008" spans="4:7" ht="15.75" customHeight="1" x14ac:dyDescent="0.2">
      <c r="D1008" s="82"/>
      <c r="G1008" s="37"/>
    </row>
    <row r="1009" spans="4:7" ht="15.75" customHeight="1" x14ac:dyDescent="0.2">
      <c r="D1009" s="82"/>
      <c r="G1009" s="37"/>
    </row>
    <row r="1010" spans="4:7" ht="15.75" customHeight="1" x14ac:dyDescent="0.2">
      <c r="D1010" s="82"/>
      <c r="G1010" s="37"/>
    </row>
    <row r="1011" spans="4:7" ht="15.75" customHeight="1" x14ac:dyDescent="0.2">
      <c r="D1011" s="82"/>
      <c r="G1011" s="37"/>
    </row>
    <row r="1012" spans="4:7" ht="15.75" customHeight="1" x14ac:dyDescent="0.2">
      <c r="D1012" s="82"/>
      <c r="G1012" s="37"/>
    </row>
    <row r="1013" spans="4:7" ht="15.75" customHeight="1" x14ac:dyDescent="0.2">
      <c r="D1013" s="82"/>
      <c r="G1013" s="37"/>
    </row>
    <row r="1014" spans="4:7" ht="15.75" customHeight="1" x14ac:dyDescent="0.2">
      <c r="D1014" s="82"/>
      <c r="G1014" s="37"/>
    </row>
    <row r="1015" spans="4:7" ht="15.75" customHeight="1" x14ac:dyDescent="0.2">
      <c r="D1015" s="82"/>
      <c r="G1015" s="37"/>
    </row>
    <row r="1016" spans="4:7" ht="15.75" customHeight="1" x14ac:dyDescent="0.2">
      <c r="D1016" s="82"/>
      <c r="G1016" s="37"/>
    </row>
    <row r="1017" spans="4:7" ht="15.75" customHeight="1" x14ac:dyDescent="0.2">
      <c r="D1017" s="82"/>
      <c r="G1017" s="37"/>
    </row>
    <row r="1018" spans="4:7" ht="15.75" customHeight="1" x14ac:dyDescent="0.2">
      <c r="D1018" s="82"/>
      <c r="G1018" s="37"/>
    </row>
    <row r="1019" spans="4:7" ht="15.75" customHeight="1" x14ac:dyDescent="0.2">
      <c r="D1019" s="82"/>
      <c r="G1019" s="37"/>
    </row>
    <row r="1020" spans="4:7" ht="15.75" customHeight="1" x14ac:dyDescent="0.2">
      <c r="D1020" s="82"/>
      <c r="G1020" s="37"/>
    </row>
    <row r="1021" spans="4:7" ht="15.75" customHeight="1" x14ac:dyDescent="0.2">
      <c r="D1021" s="82"/>
      <c r="G1021" s="37"/>
    </row>
    <row r="1022" spans="4:7" ht="15.75" customHeight="1" x14ac:dyDescent="0.2">
      <c r="D1022" s="82"/>
      <c r="G1022" s="37"/>
    </row>
    <row r="1023" spans="4:7" ht="15.75" customHeight="1" x14ac:dyDescent="0.2">
      <c r="D1023" s="82"/>
      <c r="G1023" s="37"/>
    </row>
    <row r="1024" spans="4:7" ht="15.75" customHeight="1" x14ac:dyDescent="0.2">
      <c r="D1024" s="82"/>
      <c r="G1024" s="37"/>
    </row>
    <row r="1025" spans="4:7" ht="15.75" customHeight="1" x14ac:dyDescent="0.2">
      <c r="D1025" s="82"/>
      <c r="G1025" s="37"/>
    </row>
    <row r="1026" spans="4:7" ht="15.75" customHeight="1" x14ac:dyDescent="0.2">
      <c r="D1026" s="82"/>
      <c r="G1026" s="37"/>
    </row>
    <row r="1027" spans="4:7" ht="15.75" customHeight="1" x14ac:dyDescent="0.2">
      <c r="D1027" s="82"/>
      <c r="G1027" s="37"/>
    </row>
    <row r="1028" spans="4:7" ht="15.75" customHeight="1" x14ac:dyDescent="0.2">
      <c r="D1028" s="82"/>
      <c r="G1028" s="37"/>
    </row>
    <row r="1029" spans="4:7" ht="15.75" customHeight="1" x14ac:dyDescent="0.2">
      <c r="D1029" s="82"/>
      <c r="G1029" s="37"/>
    </row>
    <row r="1030" spans="4:7" ht="15.75" customHeight="1" x14ac:dyDescent="0.2">
      <c r="D1030" s="82"/>
      <c r="G1030" s="37"/>
    </row>
    <row r="1031" spans="4:7" ht="15.75" customHeight="1" x14ac:dyDescent="0.2">
      <c r="D1031" s="82"/>
      <c r="G1031" s="37"/>
    </row>
    <row r="1032" spans="4:7" ht="15.75" customHeight="1" x14ac:dyDescent="0.2">
      <c r="D1032" s="82"/>
      <c r="G1032" s="37"/>
    </row>
    <row r="1033" spans="4:7" ht="15.75" customHeight="1" x14ac:dyDescent="0.2">
      <c r="D1033" s="82"/>
      <c r="G1033" s="37"/>
    </row>
    <row r="1034" spans="4:7" ht="15.75" customHeight="1" x14ac:dyDescent="0.2">
      <c r="D1034" s="82"/>
      <c r="G1034" s="37"/>
    </row>
    <row r="1035" spans="4:7" ht="15.75" customHeight="1" x14ac:dyDescent="0.2">
      <c r="D1035" s="82"/>
      <c r="G1035" s="37"/>
    </row>
    <row r="1036" spans="4:7" ht="15.75" customHeight="1" x14ac:dyDescent="0.2">
      <c r="D1036" s="82"/>
      <c r="G1036" s="37"/>
    </row>
    <row r="1037" spans="4:7" ht="15.75" customHeight="1" x14ac:dyDescent="0.2">
      <c r="D1037" s="82"/>
      <c r="G1037" s="37"/>
    </row>
    <row r="1038" spans="4:7" ht="15.75" customHeight="1" x14ac:dyDescent="0.2">
      <c r="D1038" s="82"/>
      <c r="G1038" s="37"/>
    </row>
    <row r="1039" spans="4:7" ht="15.75" customHeight="1" x14ac:dyDescent="0.2">
      <c r="D1039" s="82"/>
      <c r="G1039" s="37"/>
    </row>
    <row r="1040" spans="4:7" ht="15.75" customHeight="1" x14ac:dyDescent="0.2">
      <c r="D1040" s="82"/>
      <c r="G1040" s="37"/>
    </row>
    <row r="1041" spans="4:7" ht="15.75" customHeight="1" x14ac:dyDescent="0.2">
      <c r="D1041" s="82"/>
      <c r="G1041" s="37"/>
    </row>
    <row r="1042" spans="4:7" ht="15.75" customHeight="1" x14ac:dyDescent="0.2">
      <c r="D1042" s="82"/>
      <c r="G1042" s="37"/>
    </row>
    <row r="1043" spans="4:7" ht="15.75" customHeight="1" x14ac:dyDescent="0.2">
      <c r="D1043" s="82"/>
      <c r="G1043" s="37"/>
    </row>
    <row r="1044" spans="4:7" ht="15.75" customHeight="1" x14ac:dyDescent="0.2">
      <c r="D1044" s="82"/>
      <c r="G1044" s="37"/>
    </row>
    <row r="1045" spans="4:7" ht="15.75" customHeight="1" x14ac:dyDescent="0.2">
      <c r="D1045" s="82"/>
      <c r="G1045" s="37"/>
    </row>
    <row r="1046" spans="4:7" ht="15.75" customHeight="1" x14ac:dyDescent="0.2">
      <c r="D1046" s="82"/>
      <c r="G1046" s="37"/>
    </row>
    <row r="1047" spans="4:7" ht="15.75" customHeight="1" x14ac:dyDescent="0.2">
      <c r="D1047" s="82"/>
      <c r="G1047" s="37"/>
    </row>
    <row r="1048" spans="4:7" ht="15.75" customHeight="1" x14ac:dyDescent="0.2">
      <c r="D1048" s="82"/>
      <c r="G1048" s="37"/>
    </row>
    <row r="1049" spans="4:7" ht="15.75" customHeight="1" x14ac:dyDescent="0.2">
      <c r="D1049" s="82"/>
      <c r="G1049" s="37"/>
    </row>
    <row r="1050" spans="4:7" ht="15.75" customHeight="1" x14ac:dyDescent="0.2">
      <c r="D1050" s="82"/>
      <c r="G1050" s="37"/>
    </row>
    <row r="1051" spans="4:7" ht="15.75" customHeight="1" x14ac:dyDescent="0.2">
      <c r="D1051" s="82"/>
      <c r="G1051" s="37"/>
    </row>
    <row r="1052" spans="4:7" ht="15.75" customHeight="1" x14ac:dyDescent="0.2">
      <c r="D1052" s="82"/>
      <c r="G1052" s="37"/>
    </row>
    <row r="1053" spans="4:7" ht="15.75" customHeight="1" x14ac:dyDescent="0.2">
      <c r="D1053" s="82"/>
      <c r="G1053" s="37"/>
    </row>
    <row r="1054" spans="4:7" ht="15.75" customHeight="1" x14ac:dyDescent="0.2">
      <c r="D1054" s="82"/>
      <c r="G1054" s="37"/>
    </row>
    <row r="1055" spans="4:7" ht="15.75" customHeight="1" x14ac:dyDescent="0.2">
      <c r="D1055" s="82"/>
      <c r="G1055" s="37"/>
    </row>
    <row r="1056" spans="4:7" ht="15.75" customHeight="1" x14ac:dyDescent="0.2">
      <c r="D1056" s="82"/>
      <c r="G1056" s="37"/>
    </row>
    <row r="1057" spans="4:7" ht="15.75" customHeight="1" x14ac:dyDescent="0.2">
      <c r="D1057" s="82"/>
      <c r="G1057" s="37"/>
    </row>
    <row r="1058" spans="4:7" ht="15.75" customHeight="1" x14ac:dyDescent="0.2">
      <c r="D1058" s="82"/>
      <c r="G1058" s="37"/>
    </row>
    <row r="1059" spans="4:7" ht="15.75" customHeight="1" x14ac:dyDescent="0.2">
      <c r="D1059" s="82"/>
      <c r="G1059" s="37"/>
    </row>
    <row r="1060" spans="4:7" ht="15.75" customHeight="1" x14ac:dyDescent="0.2">
      <c r="D1060" s="82"/>
      <c r="G1060" s="37"/>
    </row>
    <row r="1061" spans="4:7" ht="15.75" customHeight="1" x14ac:dyDescent="0.2">
      <c r="D1061" s="82"/>
      <c r="G1061" s="37"/>
    </row>
    <row r="1062" spans="4:7" ht="15.75" customHeight="1" x14ac:dyDescent="0.2">
      <c r="D1062" s="82"/>
      <c r="G1062" s="37"/>
    </row>
    <row r="1063" spans="4:7" ht="15.75" customHeight="1" x14ac:dyDescent="0.2">
      <c r="D1063" s="82"/>
      <c r="G1063" s="37"/>
    </row>
    <row r="1064" spans="4:7" ht="15.75" customHeight="1" x14ac:dyDescent="0.2">
      <c r="D1064" s="82"/>
      <c r="G1064" s="37"/>
    </row>
    <row r="1065" spans="4:7" ht="15.75" customHeight="1" x14ac:dyDescent="0.2">
      <c r="D1065" s="82"/>
      <c r="G1065" s="37"/>
    </row>
    <row r="1066" spans="4:7" ht="15.75" customHeight="1" x14ac:dyDescent="0.2">
      <c r="D1066" s="82"/>
      <c r="G1066" s="37"/>
    </row>
    <row r="1067" spans="4:7" ht="15.75" customHeight="1" x14ac:dyDescent="0.2">
      <c r="D1067" s="82"/>
      <c r="G1067" s="37"/>
    </row>
    <row r="1068" spans="4:7" ht="15.75" customHeight="1" x14ac:dyDescent="0.2">
      <c r="D1068" s="82"/>
      <c r="G1068" s="37"/>
    </row>
    <row r="1069" spans="4:7" ht="15.75" customHeight="1" x14ac:dyDescent="0.2">
      <c r="D1069" s="82"/>
      <c r="G1069" s="37"/>
    </row>
    <row r="1070" spans="4:7" ht="15.75" customHeight="1" x14ac:dyDescent="0.2">
      <c r="D1070" s="82"/>
      <c r="G1070" s="37"/>
    </row>
    <row r="1071" spans="4:7" ht="15.75" customHeight="1" x14ac:dyDescent="0.2">
      <c r="D1071" s="82"/>
      <c r="G1071" s="37"/>
    </row>
    <row r="1072" spans="4:7" ht="15.75" customHeight="1" x14ac:dyDescent="0.2">
      <c r="D1072" s="82"/>
      <c r="G1072" s="37"/>
    </row>
    <row r="1073" spans="4:7" ht="15.75" customHeight="1" x14ac:dyDescent="0.2">
      <c r="D1073" s="82"/>
      <c r="G1073" s="37"/>
    </row>
    <row r="1074" spans="4:7" ht="15.75" customHeight="1" x14ac:dyDescent="0.2">
      <c r="D1074" s="82"/>
      <c r="G1074" s="37"/>
    </row>
    <row r="1075" spans="4:7" ht="15.75" customHeight="1" x14ac:dyDescent="0.2">
      <c r="D1075" s="82"/>
      <c r="G1075" s="37"/>
    </row>
    <row r="1076" spans="4:7" ht="15.75" customHeight="1" x14ac:dyDescent="0.2">
      <c r="D1076" s="82"/>
      <c r="G1076" s="37"/>
    </row>
    <row r="1077" spans="4:7" ht="15.75" customHeight="1" x14ac:dyDescent="0.2">
      <c r="D1077" s="82"/>
      <c r="G1077" s="37"/>
    </row>
    <row r="1078" spans="4:7" ht="15.75" customHeight="1" x14ac:dyDescent="0.2">
      <c r="D1078" s="82"/>
      <c r="G1078" s="37"/>
    </row>
    <row r="1079" spans="4:7" ht="15.75" customHeight="1" x14ac:dyDescent="0.2">
      <c r="D1079" s="82"/>
    </row>
    <row r="1080" spans="4:7" ht="15.75" customHeight="1" x14ac:dyDescent="0.2">
      <c r="D1080" s="82"/>
    </row>
    <row r="1081" spans="4:7" ht="15.75" customHeight="1" x14ac:dyDescent="0.2">
      <c r="D1081" s="82"/>
    </row>
    <row r="1082" spans="4:7" ht="15.75" customHeight="1" x14ac:dyDescent="0.2">
      <c r="D1082" s="82"/>
    </row>
    <row r="1083" spans="4:7" ht="15.75" customHeight="1" x14ac:dyDescent="0.2">
      <c r="D1083" s="82"/>
    </row>
    <row r="1084" spans="4:7" ht="15.75" customHeight="1" x14ac:dyDescent="0.2">
      <c r="D1084" s="82"/>
    </row>
    <row r="1085" spans="4:7" ht="15.75" customHeight="1" x14ac:dyDescent="0.2">
      <c r="D1085" s="82"/>
    </row>
    <row r="1086" spans="4:7" ht="15.75" customHeight="1" x14ac:dyDescent="0.2">
      <c r="D1086" s="82"/>
    </row>
    <row r="1087" spans="4:7" ht="15.75" customHeight="1" x14ac:dyDescent="0.2">
      <c r="D1087" s="82"/>
    </row>
    <row r="1088" spans="4:7" ht="15.75" customHeight="1" x14ac:dyDescent="0.2">
      <c r="D1088" s="82"/>
    </row>
    <row r="1089" spans="4:4" ht="15.75" customHeight="1" x14ac:dyDescent="0.2">
      <c r="D1089" s="82"/>
    </row>
    <row r="1090" spans="4:4" ht="15.75" customHeight="1" x14ac:dyDescent="0.2">
      <c r="D1090" s="82"/>
    </row>
    <row r="1091" spans="4:4" ht="15.75" customHeight="1" x14ac:dyDescent="0.2">
      <c r="D1091" s="82"/>
    </row>
    <row r="1092" spans="4:4" ht="15.75" customHeight="1" x14ac:dyDescent="0.2">
      <c r="D1092" s="82"/>
    </row>
    <row r="1093" spans="4:4" ht="15.75" customHeight="1" x14ac:dyDescent="0.2">
      <c r="D1093" s="82"/>
    </row>
    <row r="1094" spans="4:4" ht="15.75" customHeight="1" x14ac:dyDescent="0.2">
      <c r="D1094" s="82"/>
    </row>
    <row r="1095" spans="4:4" ht="15.75" customHeight="1" x14ac:dyDescent="0.2">
      <c r="D1095" s="82"/>
    </row>
    <row r="1096" spans="4:4" ht="15.75" customHeight="1" x14ac:dyDescent="0.2">
      <c r="D1096" s="82"/>
    </row>
    <row r="1097" spans="4:4" ht="15.75" customHeight="1" x14ac:dyDescent="0.2">
      <c r="D1097" s="82"/>
    </row>
    <row r="1098" spans="4:4" ht="15.75" customHeight="1" x14ac:dyDescent="0.2">
      <c r="D1098" s="82"/>
    </row>
    <row r="1099" spans="4:4" ht="15.75" customHeight="1" x14ac:dyDescent="0.2">
      <c r="D1099" s="82"/>
    </row>
    <row r="1100" spans="4:4" ht="15.75" customHeight="1" x14ac:dyDescent="0.2">
      <c r="D1100" s="82"/>
    </row>
    <row r="1101" spans="4:4" ht="15.75" customHeight="1" x14ac:dyDescent="0.2">
      <c r="D1101" s="82"/>
    </row>
    <row r="1102" spans="4:4" ht="15.75" customHeight="1" x14ac:dyDescent="0.2">
      <c r="D1102" s="82"/>
    </row>
    <row r="1103" spans="4:4" ht="15.75" customHeight="1" x14ac:dyDescent="0.2">
      <c r="D1103" s="82"/>
    </row>
    <row r="1104" spans="4:4" ht="15.75" customHeight="1" x14ac:dyDescent="0.2">
      <c r="D1104" s="82"/>
    </row>
    <row r="1105" spans="4:4" ht="15.75" customHeight="1" x14ac:dyDescent="0.2">
      <c r="D1105" s="82"/>
    </row>
    <row r="1106" spans="4:4" ht="15.75" customHeight="1" x14ac:dyDescent="0.2">
      <c r="D1106" s="82"/>
    </row>
    <row r="1107" spans="4:4" ht="15.75" customHeight="1" x14ac:dyDescent="0.2">
      <c r="D1107" s="82"/>
    </row>
    <row r="1108" spans="4:4" ht="15.75" customHeight="1" x14ac:dyDescent="0.2">
      <c r="D1108" s="82"/>
    </row>
    <row r="1109" spans="4:4" ht="15.75" customHeight="1" x14ac:dyDescent="0.2">
      <c r="D1109" s="82"/>
    </row>
    <row r="1110" spans="4:4" ht="15.75" customHeight="1" x14ac:dyDescent="0.2">
      <c r="D1110" s="82"/>
    </row>
    <row r="1111" spans="4:4" ht="15.75" customHeight="1" x14ac:dyDescent="0.2">
      <c r="D1111" s="82"/>
    </row>
    <row r="1112" spans="4:4" ht="15.75" customHeight="1" x14ac:dyDescent="0.2">
      <c r="D1112" s="82"/>
    </row>
    <row r="1113" spans="4:4" ht="15.75" customHeight="1" x14ac:dyDescent="0.2">
      <c r="D1113" s="82"/>
    </row>
    <row r="1114" spans="4:4" ht="15.75" customHeight="1" x14ac:dyDescent="0.2">
      <c r="D1114" s="82"/>
    </row>
    <row r="1115" spans="4:4" ht="15.75" customHeight="1" x14ac:dyDescent="0.2">
      <c r="D1115" s="82"/>
    </row>
    <row r="1116" spans="4:4" ht="15.75" customHeight="1" x14ac:dyDescent="0.2">
      <c r="D1116" s="82"/>
    </row>
    <row r="1117" spans="4:4" ht="15.75" customHeight="1" x14ac:dyDescent="0.2">
      <c r="D1117" s="82"/>
    </row>
    <row r="1118" spans="4:4" ht="15.75" customHeight="1" x14ac:dyDescent="0.2">
      <c r="D1118" s="82"/>
    </row>
    <row r="1119" spans="4:4" ht="15.75" customHeight="1" x14ac:dyDescent="0.2">
      <c r="D1119" s="82"/>
    </row>
    <row r="1120" spans="4:4" ht="15.75" customHeight="1" x14ac:dyDescent="0.2">
      <c r="D1120" s="82"/>
    </row>
    <row r="1121" spans="4:4" ht="15.75" customHeight="1" x14ac:dyDescent="0.2">
      <c r="D1121" s="82"/>
    </row>
    <row r="1122" spans="4:4" ht="15.75" customHeight="1" x14ac:dyDescent="0.2">
      <c r="D1122" s="82"/>
    </row>
    <row r="1123" spans="4:4" ht="15.75" customHeight="1" x14ac:dyDescent="0.2">
      <c r="D1123" s="82"/>
    </row>
    <row r="1124" spans="4:4" ht="15.75" customHeight="1" x14ac:dyDescent="0.2">
      <c r="D1124" s="82"/>
    </row>
    <row r="1125" spans="4:4" ht="15.75" customHeight="1" x14ac:dyDescent="0.2">
      <c r="D1125" s="82"/>
    </row>
    <row r="1126" spans="4:4" ht="15.75" customHeight="1" x14ac:dyDescent="0.2">
      <c r="D1126" s="82"/>
    </row>
    <row r="1127" spans="4:4" ht="15.75" customHeight="1" x14ac:dyDescent="0.2">
      <c r="D1127" s="82"/>
    </row>
    <row r="1128" spans="4:4" ht="15.75" customHeight="1" x14ac:dyDescent="0.2">
      <c r="D1128" s="82"/>
    </row>
    <row r="1129" spans="4:4" ht="15.75" customHeight="1" x14ac:dyDescent="0.2">
      <c r="D1129" s="82"/>
    </row>
    <row r="1130" spans="4:4" ht="15.75" customHeight="1" x14ac:dyDescent="0.2">
      <c r="D1130" s="82"/>
    </row>
    <row r="1131" spans="4:4" ht="15.75" customHeight="1" x14ac:dyDescent="0.2">
      <c r="D1131" s="82"/>
    </row>
    <row r="1132" spans="4:4" ht="15.75" customHeight="1" x14ac:dyDescent="0.2">
      <c r="D1132" s="82"/>
    </row>
    <row r="1133" spans="4:4" ht="15.75" customHeight="1" x14ac:dyDescent="0.2">
      <c r="D1133" s="82"/>
    </row>
    <row r="1134" spans="4:4" ht="15.75" customHeight="1" x14ac:dyDescent="0.2">
      <c r="D1134" s="82"/>
    </row>
    <row r="1135" spans="4:4" ht="15.75" customHeight="1" x14ac:dyDescent="0.2">
      <c r="D1135" s="82"/>
    </row>
    <row r="1136" spans="4:4" ht="15.75" customHeight="1" x14ac:dyDescent="0.2">
      <c r="D1136" s="82"/>
    </row>
    <row r="1137" spans="4:4" ht="15.75" customHeight="1" x14ac:dyDescent="0.2">
      <c r="D1137" s="82"/>
    </row>
    <row r="1138" spans="4:4" ht="15.75" customHeight="1" x14ac:dyDescent="0.2">
      <c r="D1138" s="82"/>
    </row>
    <row r="1139" spans="4:4" ht="15.75" customHeight="1" x14ac:dyDescent="0.2">
      <c r="D1139" s="82"/>
    </row>
  </sheetData>
  <mergeCells count="3">
    <mergeCell ref="AM6:AO6"/>
    <mergeCell ref="B184:D184"/>
    <mergeCell ref="B372:D372"/>
  </mergeCells>
  <dataValidations count="2">
    <dataValidation type="list" allowBlank="1" showErrorMessage="1" sqref="AD2 AD6" xr:uid="{00000000-0002-0000-0100-000000000000}">
      <formula1>$B$2:$B$300</formula1>
    </dataValidation>
    <dataValidation type="list" allowBlank="1" showErrorMessage="1" sqref="AD17 AD31" xr:uid="{00000000-0002-0000-0100-000001000000}">
      <formula1>$B$2:$B$199</formula1>
    </dataValidation>
  </dataValidations>
  <hyperlinks>
    <hyperlink ref="B287" r:id="rId1" xr:uid="{00000000-0004-0000-0100-000000000000}"/>
  </hyperlink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Base</vt:lpstr>
      <vt:lpstr>PARAMETROS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Natalia Mutiz</dc:creator>
  <cp:lastModifiedBy>Natalia Mutiz</cp:lastModifiedBy>
  <dcterms:created xsi:type="dcterms:W3CDTF">2023-08-22T21:11:05Z</dcterms:created>
  <dcterms:modified xsi:type="dcterms:W3CDTF">2023-08-22T21:11:09Z</dcterms:modified>
</cp:coreProperties>
</file>