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ONDO DE ADAPTACIÓN\CIMITARRA\INCUMPLIMIENTO CONTRATO DE OBRA\SOLICITUD DE AJUSTE\SOPORTE DE LOS HECHOS\"/>
    </mc:Choice>
  </mc:AlternateContent>
  <xr:revisionPtr revIDLastSave="0" documentId="13_ncr:1_{B3180543-5E19-4FBE-B13B-702349C5161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ESUPUESTO " sheetId="1" r:id="rId1"/>
    <sheet name="IPC 2021  " sheetId="10" r:id="rId2"/>
    <sheet name="IPC 2022" sheetId="11" r:id="rId3"/>
    <sheet name="IPC 2023 NOV" sheetId="12" r:id="rId4"/>
    <sheet name="GARANTÍAS - SECOP I" sheetId="1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8" i="1" l="1"/>
  <c r="G62" i="1"/>
  <c r="G63" i="1"/>
  <c r="G67" i="1" s="1"/>
  <c r="G69" i="1" s="1"/>
  <c r="G64" i="1"/>
  <c r="G65" i="1"/>
  <c r="G66" i="1"/>
  <c r="G61" i="1"/>
  <c r="G49" i="1"/>
  <c r="G50" i="1"/>
  <c r="G51" i="1"/>
  <c r="G52" i="1"/>
  <c r="G53" i="1"/>
  <c r="G54" i="1"/>
  <c r="F25" i="1"/>
  <c r="F27" i="1" s="1"/>
  <c r="F37" i="1"/>
  <c r="F39" i="1" s="1"/>
  <c r="E49" i="1"/>
  <c r="E50" i="1"/>
  <c r="E51" i="1"/>
  <c r="E52" i="1"/>
  <c r="E53" i="1"/>
  <c r="E54" i="1"/>
  <c r="E48" i="1"/>
  <c r="G48" i="1" s="1"/>
  <c r="E32" i="1"/>
  <c r="E33" i="1"/>
  <c r="E34" i="1"/>
  <c r="E35" i="1"/>
  <c r="E36" i="1"/>
  <c r="E31" i="1"/>
  <c r="H16" i="1"/>
  <c r="I16" i="1" s="1"/>
  <c r="H17" i="1"/>
  <c r="H18" i="1"/>
  <c r="I18" i="1" s="1"/>
  <c r="E16" i="1"/>
  <c r="E17" i="1"/>
  <c r="E18" i="1"/>
  <c r="E19" i="1"/>
  <c r="E20" i="1"/>
  <c r="E21" i="1"/>
  <c r="E22" i="1"/>
  <c r="E23" i="1"/>
  <c r="E24" i="1"/>
  <c r="E15" i="1"/>
  <c r="H66" i="1"/>
  <c r="I65" i="1"/>
  <c r="H65" i="1"/>
  <c r="H64" i="1"/>
  <c r="I64" i="1" s="1"/>
  <c r="H63" i="1"/>
  <c r="H62" i="1"/>
  <c r="I62" i="1" s="1"/>
  <c r="J62" i="1" s="1"/>
  <c r="H61" i="1"/>
  <c r="I61" i="1" s="1"/>
  <c r="H54" i="1"/>
  <c r="I54" i="1" s="1"/>
  <c r="H53" i="1"/>
  <c r="H52" i="1"/>
  <c r="H51" i="1"/>
  <c r="H50" i="1"/>
  <c r="H49" i="1"/>
  <c r="H48" i="1"/>
  <c r="B9" i="1"/>
  <c r="H35" i="1"/>
  <c r="I35" i="1" s="1"/>
  <c r="J35" i="1" s="1"/>
  <c r="H36" i="1"/>
  <c r="H33" i="1"/>
  <c r="I33" i="1" s="1"/>
  <c r="H32" i="1"/>
  <c r="H31" i="1"/>
  <c r="I31" i="1" s="1"/>
  <c r="H34" i="1"/>
  <c r="I34" i="1" s="1"/>
  <c r="H19" i="1"/>
  <c r="I19" i="1" s="1"/>
  <c r="H20" i="1"/>
  <c r="I20" i="1" s="1"/>
  <c r="H21" i="1"/>
  <c r="I21" i="1" s="1"/>
  <c r="H22" i="1"/>
  <c r="I22" i="1" s="1"/>
  <c r="J22" i="1" s="1"/>
  <c r="H23" i="1"/>
  <c r="H24" i="1"/>
  <c r="H15" i="1"/>
  <c r="G55" i="1" l="1"/>
  <c r="G57" i="1" s="1"/>
  <c r="I17" i="1"/>
  <c r="J17" i="1" s="1"/>
  <c r="K16" i="1" s="1"/>
  <c r="J16" i="1"/>
  <c r="J18" i="1"/>
  <c r="K64" i="1"/>
  <c r="J61" i="1"/>
  <c r="K61" i="1" s="1"/>
  <c r="J64" i="1"/>
  <c r="I50" i="1"/>
  <c r="J50" i="1" s="1"/>
  <c r="I53" i="1"/>
  <c r="J53" i="1" s="1"/>
  <c r="J65" i="1"/>
  <c r="J54" i="1"/>
  <c r="K54" i="1"/>
  <c r="I63" i="1"/>
  <c r="J63" i="1" s="1"/>
  <c r="K62" i="1" s="1"/>
  <c r="I66" i="1"/>
  <c r="K66" i="1" s="1"/>
  <c r="I48" i="1"/>
  <c r="J48" i="1" s="1"/>
  <c r="I51" i="1"/>
  <c r="I49" i="1"/>
  <c r="J49" i="1" s="1"/>
  <c r="I52" i="1"/>
  <c r="J31" i="1"/>
  <c r="K31" i="1" s="1"/>
  <c r="J33" i="1"/>
  <c r="J34" i="1"/>
  <c r="K33" i="1" s="1"/>
  <c r="I36" i="1"/>
  <c r="J36" i="1" s="1"/>
  <c r="K35" i="1" s="1"/>
  <c r="K34" i="1"/>
  <c r="I32" i="1"/>
  <c r="J32" i="1" s="1"/>
  <c r="I24" i="1"/>
  <c r="K24" i="1" s="1"/>
  <c r="I23" i="1"/>
  <c r="J23" i="1" s="1"/>
  <c r="K22" i="1" s="1"/>
  <c r="K21" i="1"/>
  <c r="J19" i="1"/>
  <c r="K18" i="1" s="1"/>
  <c r="J21" i="1"/>
  <c r="K20" i="1" s="1"/>
  <c r="J20" i="1"/>
  <c r="K19" i="1" s="1"/>
  <c r="I15" i="1"/>
  <c r="J15" i="1" s="1"/>
  <c r="J66" i="1" l="1"/>
  <c r="K65" i="1" s="1"/>
  <c r="K17" i="1"/>
  <c r="K15" i="1"/>
  <c r="K63" i="1"/>
  <c r="K67" i="1" s="1"/>
  <c r="K69" i="1" s="1"/>
  <c r="C73" i="1" s="1"/>
  <c r="J51" i="1"/>
  <c r="K48" i="1"/>
  <c r="K52" i="1"/>
  <c r="K49" i="1"/>
  <c r="K53" i="1"/>
  <c r="K50" i="1"/>
  <c r="J52" i="1"/>
  <c r="K51" i="1" s="1"/>
  <c r="K36" i="1"/>
  <c r="K32" i="1"/>
  <c r="J24" i="1"/>
  <c r="K23" i="1" s="1"/>
  <c r="K37" i="1" l="1"/>
  <c r="K39" i="1" s="1"/>
  <c r="B73" i="1" s="1"/>
  <c r="D73" i="1" s="1"/>
  <c r="K55" i="1"/>
  <c r="K57" i="1" s="1"/>
  <c r="C72" i="1" s="1"/>
  <c r="C74" i="1" s="1"/>
  <c r="C75" i="1" s="1"/>
  <c r="C76" i="1" s="1"/>
  <c r="K25" i="1"/>
  <c r="K27" i="1" s="1"/>
  <c r="B72" i="1" s="1"/>
  <c r="B74" i="1" l="1"/>
  <c r="D74" i="1" s="1"/>
  <c r="D72" i="1"/>
  <c r="B75" i="1" l="1"/>
  <c r="B76" i="1"/>
  <c r="D76" i="1" s="1"/>
  <c r="D75" i="1"/>
  <c r="F76" i="1"/>
  <c r="H76" i="1" s="1"/>
</calcChain>
</file>

<file path=xl/sharedStrings.xml><?xml version="1.0" encoding="utf-8"?>
<sst xmlns="http://schemas.openxmlformats.org/spreadsheetml/2006/main" count="139" uniqueCount="63">
  <si>
    <t>TARIFA 2022</t>
  </si>
  <si>
    <t>TARIFA 2023</t>
  </si>
  <si>
    <t>TARIFA 2020</t>
  </si>
  <si>
    <t>TARIFA 2021</t>
  </si>
  <si>
    <t>NUMERO DE PROYECTOS</t>
  </si>
  <si>
    <t>MONTO DE LAS OBRAS</t>
  </si>
  <si>
    <t>PLAZO (meses)</t>
  </si>
  <si>
    <t>SEDE PROPUESTA PARA LA INTERVENTORÍA</t>
  </si>
  <si>
    <t>COSTOS DE PERSONAL</t>
  </si>
  <si>
    <t>Dedicación de Personal (H-mes)</t>
  </si>
  <si>
    <t>Meses</t>
  </si>
  <si>
    <t>Total (H-mes)</t>
  </si>
  <si>
    <t>Costo</t>
  </si>
  <si>
    <t>IPC</t>
  </si>
  <si>
    <t>Cargo</t>
  </si>
  <si>
    <t>Numero</t>
  </si>
  <si>
    <t>$/Mes</t>
  </si>
  <si>
    <t>Total $</t>
  </si>
  <si>
    <t>Director Interventoria</t>
  </si>
  <si>
    <t>Espec: hidraul-suelos-estruct- electrico</t>
  </si>
  <si>
    <t>Ingeniero Residente</t>
  </si>
  <si>
    <t>Ingeniero Ambiental-SISO</t>
  </si>
  <si>
    <t>Profesional Area Social</t>
  </si>
  <si>
    <t>Inspector de Interventoría</t>
  </si>
  <si>
    <t>Profesional en costos, presupuesto y programación (PSA)</t>
  </si>
  <si>
    <t>Subtotal</t>
  </si>
  <si>
    <t>Factor Multiplicador</t>
  </si>
  <si>
    <t>Total</t>
  </si>
  <si>
    <t>Descripción</t>
  </si>
  <si>
    <t>Unid</t>
  </si>
  <si>
    <t>Rendimiento (mes)</t>
  </si>
  <si>
    <t>Cantidad</t>
  </si>
  <si>
    <t>Valor</t>
  </si>
  <si>
    <t>Unitario ($)</t>
  </si>
  <si>
    <t>Total ($)</t>
  </si>
  <si>
    <t>Transporte</t>
  </si>
  <si>
    <t>Mes</t>
  </si>
  <si>
    <t>Alquiler equipo topografia (con personal)</t>
  </si>
  <si>
    <t>mes</t>
  </si>
  <si>
    <t>Comunicaciones, papelería</t>
  </si>
  <si>
    <t>Costos oficina local (incluye servicio</t>
  </si>
  <si>
    <t>Elaboración de Informes</t>
  </si>
  <si>
    <t>Ensayos de laboratorio materiales</t>
  </si>
  <si>
    <t>GASTOS GENERALES</t>
  </si>
  <si>
    <t>IVA - 19%</t>
  </si>
  <si>
    <t>TOTAL</t>
  </si>
  <si>
    <r>
      <rPr>
        <vertAlign val="superscript"/>
        <sz val="10"/>
        <rFont val="Calibri"/>
        <family val="2"/>
        <scheme val="minor"/>
      </rPr>
      <t xml:space="preserve">22%                  </t>
    </r>
    <r>
      <rPr>
        <sz val="10"/>
        <rFont val="Calibri"/>
        <family val="2"/>
        <scheme val="minor"/>
      </rPr>
      <t>$248.462.146
7%</t>
    </r>
  </si>
  <si>
    <r>
      <rPr>
        <sz val="10"/>
        <rFont val="Calibri"/>
        <family val="2"/>
        <scheme val="minor"/>
      </rPr>
      <t>SECTOR DE AGUA Y SANEAMIENTO PRESUPUESTO ESTIMADO
INTERVENTORÍA TÉCNICA, ADMINISTRATIVA, FINANCIERA, CONTABLE, JURÍDICA Y AMBIENTAL DE LA RECONSTRUCCION DE REDES DE ALCANTARILLADO EN LA AVENIDA LA PAZ DEL CASCO URBANO DEL MUNICIPIO DE CIMITARRA- SANTANDER
GASTOS GENERALES</t>
    </r>
  </si>
  <si>
    <r>
      <rPr>
        <sz val="10"/>
        <rFont val="Calibri"/>
        <family val="2"/>
        <scheme val="minor"/>
      </rPr>
      <t>RESUMEN DE COSTOS
$32.852.217            $31.802.727
$4.324.890.183
$4.400.000.000
$75.109.817</t>
    </r>
  </si>
  <si>
    <t xml:space="preserve">Valor total de obra </t>
  </si>
  <si>
    <t>% Interventoría inicial 2020</t>
  </si>
  <si>
    <t xml:space="preserve">Valor total de Interventoria </t>
  </si>
  <si>
    <t>https://community.secop.gov.co/Public/Tendering/OpportunityDetail/Index?noticeUID=CO1.NTC.3335666&amp;isFromPublicArea=True&amp;isModal=False</t>
  </si>
  <si>
    <t xml:space="preserve">LINK DE ACCESO. </t>
  </si>
  <si>
    <t xml:space="preserve">1- FASE DE DIAGNOSTICO DE LA INFRAESTRUCTURA EXISTENTE </t>
  </si>
  <si>
    <t>Espec: hidraulico</t>
  </si>
  <si>
    <t xml:space="preserve">Espec: estructural </t>
  </si>
  <si>
    <t xml:space="preserve">Espec: Geotecnia </t>
  </si>
  <si>
    <t xml:space="preserve">2 - FASE DE CONSTRUCCION </t>
  </si>
  <si>
    <t xml:space="preserve">DIAGNOSTICO </t>
  </si>
  <si>
    <t xml:space="preserve">CONSTRUCCIÓN </t>
  </si>
  <si>
    <t xml:space="preserve">TOTAL </t>
  </si>
  <si>
    <t xml:space="preserve">Tipo de Costos Interventoría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</si>
</sst>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164" formatCode="\$#,##0"/>
    <numFmt numFmtId="165" formatCode="0.0"/>
    <numFmt numFmtId="166" formatCode="0.0%"/>
  </numFmts>
  <fonts count="10" x14ac:knownFonts="1">
    <font>
      <sz val="10"/>
      <color rgb="FF000000"/>
      <name val="Times New Roman"/>
      <charset val="204"/>
    </font>
    <font>
      <sz val="10"/>
      <color rgb="FF000000"/>
      <name val="Times New Roman"/>
      <charset val="204"/>
    </font>
    <font>
      <sz val="8"/>
      <name val="Times New Roman"/>
      <charset val="204"/>
    </font>
    <font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0"/>
      <color rgb="FF000000"/>
      <name val="Times New Roman"/>
      <family val="1"/>
    </font>
    <font>
      <u/>
      <sz val="10"/>
      <color theme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96"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Border="1" applyAlignment="1">
      <alignment horizontal="center" vertical="center" shrinkToFit="1"/>
    </xf>
    <xf numFmtId="9" fontId="3" fillId="0" borderId="0" xfId="0" applyNumberFormat="1" applyFont="1" applyAlignment="1">
      <alignment horizontal="center" vertical="center" shrinkToFi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shrinkToFit="1"/>
    </xf>
    <xf numFmtId="10" fontId="3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center" wrapText="1"/>
    </xf>
    <xf numFmtId="44" fontId="3" fillId="0" borderId="4" xfId="1" applyFont="1" applyBorder="1" applyAlignment="1">
      <alignment horizontal="left" vertical="center" shrinkToFit="1"/>
    </xf>
    <xf numFmtId="0" fontId="5" fillId="0" borderId="7" xfId="0" applyFont="1" applyBorder="1" applyAlignment="1">
      <alignment horizontal="left" vertical="center" wrapText="1"/>
    </xf>
    <xf numFmtId="1" fontId="3" fillId="0" borderId="7" xfId="0" applyNumberFormat="1" applyFont="1" applyBorder="1" applyAlignment="1">
      <alignment horizontal="center" vertical="center" shrinkToFit="1"/>
    </xf>
    <xf numFmtId="0" fontId="3" fillId="0" borderId="7" xfId="0" applyFont="1" applyBorder="1" applyAlignment="1">
      <alignment horizontal="left" vertical="center"/>
    </xf>
    <xf numFmtId="166" fontId="3" fillId="0" borderId="7" xfId="2" applyNumberFormat="1" applyFont="1" applyBorder="1" applyAlignment="1">
      <alignment horizontal="center" vertical="center"/>
    </xf>
    <xf numFmtId="44" fontId="3" fillId="0" borderId="7" xfId="1" applyFont="1" applyBorder="1" applyAlignment="1">
      <alignment horizontal="right" vertical="center" shrinkToFit="1"/>
    </xf>
    <xf numFmtId="0" fontId="9" fillId="0" borderId="0" xfId="3" applyAlignment="1">
      <alignment horizontal="left" vertical="top"/>
    </xf>
    <xf numFmtId="166" fontId="3" fillId="0" borderId="0" xfId="2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 shrinkToFit="1"/>
    </xf>
    <xf numFmtId="2" fontId="3" fillId="2" borderId="1" xfId="0" applyNumberFormat="1" applyFont="1" applyFill="1" applyBorder="1" applyAlignment="1">
      <alignment horizontal="center" vertical="center" shrinkToFit="1"/>
    </xf>
    <xf numFmtId="165" fontId="3" fillId="2" borderId="1" xfId="0" applyNumberFormat="1" applyFont="1" applyFill="1" applyBorder="1" applyAlignment="1">
      <alignment horizontal="center" vertical="center" shrinkToFit="1"/>
    </xf>
    <xf numFmtId="44" fontId="3" fillId="2" borderId="1" xfId="1" applyFont="1" applyFill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4" fontId="6" fillId="0" borderId="7" xfId="0" applyNumberFormat="1" applyFont="1" applyBorder="1" applyAlignment="1">
      <alignment horizontal="left" vertical="center"/>
    </xf>
    <xf numFmtId="166" fontId="3" fillId="2" borderId="0" xfId="2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right" vertical="center" shrinkToFit="1"/>
    </xf>
    <xf numFmtId="0" fontId="5" fillId="2" borderId="3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right" vertical="center" shrinkToFit="1"/>
    </xf>
    <xf numFmtId="164" fontId="6" fillId="2" borderId="1" xfId="0" applyNumberFormat="1" applyFont="1" applyFill="1" applyBorder="1" applyAlignment="1">
      <alignment horizontal="right" vertical="center" shrinkToFit="1"/>
    </xf>
    <xf numFmtId="44" fontId="3" fillId="2" borderId="1" xfId="1" applyFont="1" applyFill="1" applyBorder="1" applyAlignment="1">
      <alignment horizontal="right" vertical="center" shrinkToFit="1"/>
    </xf>
    <xf numFmtId="44" fontId="3" fillId="2" borderId="1" xfId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 vertical="center" shrinkToFit="1"/>
    </xf>
    <xf numFmtId="44" fontId="6" fillId="2" borderId="1" xfId="1" applyFont="1" applyFill="1" applyBorder="1" applyAlignment="1">
      <alignment horizontal="right" vertical="center" shrinkToFit="1"/>
    </xf>
    <xf numFmtId="166" fontId="3" fillId="3" borderId="0" xfId="2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" fontId="3" fillId="3" borderId="1" xfId="0" applyNumberFormat="1" applyFont="1" applyFill="1" applyBorder="1" applyAlignment="1">
      <alignment horizontal="center" vertical="center" shrinkToFit="1"/>
    </xf>
    <xf numFmtId="2" fontId="3" fillId="3" borderId="1" xfId="0" applyNumberFormat="1" applyFont="1" applyFill="1" applyBorder="1" applyAlignment="1">
      <alignment horizontal="center" vertical="center" shrinkToFit="1"/>
    </xf>
    <xf numFmtId="44" fontId="3" fillId="3" borderId="1" xfId="1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right" vertical="center" shrinkToFit="1"/>
    </xf>
    <xf numFmtId="0" fontId="5" fillId="3" borderId="3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right" vertical="center" shrinkToFit="1"/>
    </xf>
    <xf numFmtId="164" fontId="6" fillId="3" borderId="1" xfId="0" applyNumberFormat="1" applyFont="1" applyFill="1" applyBorder="1" applyAlignment="1">
      <alignment horizontal="right" vertical="center" shrinkToFit="1"/>
    </xf>
    <xf numFmtId="44" fontId="3" fillId="3" borderId="1" xfId="1" applyFont="1" applyFill="1" applyBorder="1" applyAlignment="1">
      <alignment horizontal="right" vertical="center" shrinkToFit="1"/>
    </xf>
    <xf numFmtId="44" fontId="3" fillId="3" borderId="1" xfId="1" applyFont="1" applyFill="1" applyBorder="1" applyAlignment="1">
      <alignment horizontal="left" vertical="center" wrapText="1"/>
    </xf>
    <xf numFmtId="165" fontId="3" fillId="3" borderId="1" xfId="0" applyNumberFormat="1" applyFont="1" applyFill="1" applyBorder="1" applyAlignment="1">
      <alignment horizontal="right" vertical="center" shrinkToFit="1"/>
    </xf>
    <xf numFmtId="44" fontId="6" fillId="3" borderId="1" xfId="1" applyFont="1" applyFill="1" applyBorder="1" applyAlignment="1">
      <alignment horizontal="right" vertical="center" shrinkToFit="1"/>
    </xf>
    <xf numFmtId="0" fontId="6" fillId="2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44" fontId="3" fillId="0" borderId="0" xfId="0" applyNumberFormat="1" applyFont="1" applyAlignment="1">
      <alignment horizontal="left" vertical="center"/>
    </xf>
    <xf numFmtId="2" fontId="3" fillId="2" borderId="3" xfId="0" applyNumberFormat="1" applyFont="1" applyFill="1" applyBorder="1" applyAlignment="1">
      <alignment horizontal="right" vertical="center" shrinkToFit="1"/>
    </xf>
    <xf numFmtId="164" fontId="6" fillId="2" borderId="3" xfId="0" applyNumberFormat="1" applyFont="1" applyFill="1" applyBorder="1" applyAlignment="1">
      <alignment horizontal="right" vertical="center" shrinkToFit="1"/>
    </xf>
    <xf numFmtId="165" fontId="3" fillId="2" borderId="3" xfId="0" applyNumberFormat="1" applyFont="1" applyFill="1" applyBorder="1" applyAlignment="1">
      <alignment horizontal="right" vertical="center" shrinkToFit="1"/>
    </xf>
    <xf numFmtId="44" fontId="6" fillId="2" borderId="3" xfId="1" applyFont="1" applyFill="1" applyBorder="1" applyAlignment="1">
      <alignment horizontal="right" vertical="center" shrinkToFit="1"/>
    </xf>
    <xf numFmtId="44" fontId="3" fillId="3" borderId="1" xfId="1" applyNumberFormat="1" applyFont="1" applyFill="1" applyBorder="1" applyAlignment="1">
      <alignment horizontal="right" vertical="center" shrinkToFi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center"/>
    </xf>
    <xf numFmtId="44" fontId="6" fillId="0" borderId="7" xfId="1" applyFont="1" applyFill="1" applyBorder="1" applyAlignment="1">
      <alignment horizontal="right" vertical="center" shrinkToFit="1"/>
    </xf>
    <xf numFmtId="0" fontId="5" fillId="0" borderId="2" xfId="0" applyFont="1" applyBorder="1" applyAlignment="1">
      <alignment horizontal="left" vertical="center" wrapText="1"/>
    </xf>
    <xf numFmtId="44" fontId="3" fillId="0" borderId="7" xfId="1" applyFont="1" applyFill="1" applyBorder="1" applyAlignment="1">
      <alignment horizontal="right" vertical="center" shrinkToFit="1"/>
    </xf>
    <xf numFmtId="44" fontId="3" fillId="0" borderId="7" xfId="1" applyFont="1" applyFill="1" applyBorder="1" applyAlignment="1">
      <alignment horizontal="right" vertical="center"/>
    </xf>
    <xf numFmtId="44" fontId="3" fillId="0" borderId="7" xfId="0" applyNumberFormat="1" applyFont="1" applyBorder="1" applyAlignment="1">
      <alignment horizontal="left" vertical="center"/>
    </xf>
  </cellXfs>
  <cellStyles count="4">
    <cellStyle name="Hipervínculo" xfId="3" builtinId="8"/>
    <cellStyle name="Moneda" xfId="1" builtinId="4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10</xdr:col>
      <xdr:colOff>625512</xdr:colOff>
      <xdr:row>28</xdr:row>
      <xdr:rowOff>152791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BD81242-5B8C-479A-624E-D8E102CC00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335280"/>
          <a:ext cx="7757832" cy="451143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10</xdr:col>
      <xdr:colOff>389272</xdr:colOff>
      <xdr:row>27</xdr:row>
      <xdr:rowOff>7984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FA97C11-9A33-CB3C-DD24-CF1B328620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335280"/>
          <a:ext cx="7521592" cy="419898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579120</xdr:colOff>
      <xdr:row>0</xdr:row>
      <xdr:rowOff>53340</xdr:rowOff>
    </xdr:from>
    <xdr:to>
      <xdr:col>12</xdr:col>
      <xdr:colOff>572324</xdr:colOff>
      <xdr:row>29</xdr:row>
      <xdr:rowOff>84244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53971C2-7052-350D-54EC-12ABD89C8C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9120" y="53340"/>
          <a:ext cx="9502964" cy="489246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9</xdr:col>
      <xdr:colOff>252031</xdr:colOff>
      <xdr:row>53</xdr:row>
      <xdr:rowOff>68906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D68AB6D-2203-32AA-B235-885DE0F62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2480" y="5196840"/>
          <a:ext cx="6591871" cy="37569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</xdr:colOff>
      <xdr:row>1</xdr:row>
      <xdr:rowOff>160020</xdr:rowOff>
    </xdr:from>
    <xdr:to>
      <xdr:col>17</xdr:col>
      <xdr:colOff>664094</xdr:colOff>
      <xdr:row>32</xdr:row>
      <xdr:rowOff>30919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4C154B7-89F5-1137-A47D-C125159FB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2960" y="327660"/>
          <a:ext cx="13313294" cy="506773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community.secop.gov.co/Public/Tendering/OpportunityDetail/Index?noticeUID=CO1.NTC.3335666&amp;isFromPublicArea=True&amp;isModal=Fals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8"/>
  <sheetViews>
    <sheetView tabSelected="1" topLeftCell="A55" zoomScaleNormal="100" workbookViewId="0">
      <selection activeCell="J79" sqref="J79"/>
    </sheetView>
  </sheetViews>
  <sheetFormatPr baseColWidth="10" defaultColWidth="8.88671875" defaultRowHeight="13.8" x14ac:dyDescent="0.25"/>
  <cols>
    <col min="1" max="1" width="20.21875" style="1" customWidth="1"/>
    <col min="2" max="2" width="18.21875" style="1" bestFit="1" customWidth="1"/>
    <col min="3" max="3" width="17.109375" style="1" customWidth="1"/>
    <col min="4" max="4" width="15.88671875" style="1" bestFit="1" customWidth="1"/>
    <col min="5" max="5" width="16.21875" style="1" bestFit="1" customWidth="1"/>
    <col min="6" max="6" width="14.5546875" style="1" bestFit="1" customWidth="1"/>
    <col min="7" max="7" width="14.5546875" style="1" customWidth="1"/>
    <col min="8" max="10" width="12.21875" style="1" bestFit="1" customWidth="1"/>
    <col min="11" max="11" width="15.6640625" style="1" bestFit="1" customWidth="1"/>
    <col min="12" max="12" width="8.88671875" style="1"/>
    <col min="13" max="14" width="0" style="1" hidden="1" customWidth="1"/>
    <col min="15" max="16384" width="8.88671875" style="1"/>
  </cols>
  <sheetData>
    <row r="1" spans="1:14" ht="59.4" customHeight="1" x14ac:dyDescent="0.25">
      <c r="A1" s="72" t="s">
        <v>47</v>
      </c>
      <c r="B1" s="72"/>
      <c r="C1" s="72"/>
      <c r="D1" s="72"/>
      <c r="E1" s="72"/>
      <c r="F1" s="72"/>
      <c r="G1" s="72"/>
      <c r="H1" s="72"/>
      <c r="I1" s="72"/>
      <c r="J1" s="72"/>
      <c r="K1" s="72"/>
      <c r="M1" s="2"/>
    </row>
    <row r="3" spans="1:14" hidden="1" x14ac:dyDescent="0.25">
      <c r="A3" s="7" t="s">
        <v>4</v>
      </c>
      <c r="B3" s="4">
        <v>1</v>
      </c>
    </row>
    <row r="4" spans="1:14" hidden="1" x14ac:dyDescent="0.25">
      <c r="A4" s="11" t="s">
        <v>5</v>
      </c>
      <c r="B4" s="12">
        <v>4029220229</v>
      </c>
    </row>
    <row r="5" spans="1:14" x14ac:dyDescent="0.25">
      <c r="A5" s="13" t="s">
        <v>6</v>
      </c>
      <c r="B5" s="14">
        <v>9</v>
      </c>
    </row>
    <row r="6" spans="1:14" hidden="1" x14ac:dyDescent="0.25">
      <c r="A6" s="13" t="s">
        <v>7</v>
      </c>
      <c r="B6" s="14">
        <v>1</v>
      </c>
    </row>
    <row r="7" spans="1:14" x14ac:dyDescent="0.25">
      <c r="A7" s="15" t="s">
        <v>49</v>
      </c>
      <c r="B7" s="17">
        <v>3678200768</v>
      </c>
    </row>
    <row r="8" spans="1:14" x14ac:dyDescent="0.25">
      <c r="A8" s="15" t="s">
        <v>51</v>
      </c>
      <c r="B8" s="17">
        <v>295669954</v>
      </c>
    </row>
    <row r="9" spans="1:14" x14ac:dyDescent="0.25">
      <c r="A9" s="15" t="s">
        <v>50</v>
      </c>
      <c r="B9" s="16">
        <f>+B8/B7</f>
        <v>8.0384397875260305E-2</v>
      </c>
    </row>
    <row r="10" spans="1:14" x14ac:dyDescent="0.25">
      <c r="B10" s="19"/>
    </row>
    <row r="11" spans="1:14" x14ac:dyDescent="0.25">
      <c r="A11" s="58" t="s">
        <v>54</v>
      </c>
      <c r="B11" s="28"/>
      <c r="C11" s="29"/>
      <c r="D11" s="29"/>
      <c r="E11" s="29"/>
      <c r="F11" s="29"/>
      <c r="G11" s="29"/>
      <c r="H11" s="29"/>
      <c r="I11" s="29"/>
      <c r="J11" s="29"/>
      <c r="K11" s="29"/>
    </row>
    <row r="12" spans="1:14" x14ac:dyDescent="0.25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</row>
    <row r="13" spans="1:14" x14ac:dyDescent="0.25">
      <c r="A13" s="70" t="s">
        <v>8</v>
      </c>
      <c r="B13" s="71"/>
      <c r="C13" s="73" t="s">
        <v>9</v>
      </c>
      <c r="D13" s="73" t="s">
        <v>10</v>
      </c>
      <c r="E13" s="73" t="s">
        <v>11</v>
      </c>
      <c r="F13" s="31" t="s">
        <v>2</v>
      </c>
      <c r="G13" s="31"/>
      <c r="H13" s="31" t="s">
        <v>3</v>
      </c>
      <c r="I13" s="31" t="s">
        <v>0</v>
      </c>
      <c r="J13" s="31" t="s">
        <v>1</v>
      </c>
      <c r="K13" s="31" t="s">
        <v>12</v>
      </c>
      <c r="M13" s="5">
        <v>0.78</v>
      </c>
      <c r="N13" s="6" t="s">
        <v>13</v>
      </c>
    </row>
    <row r="14" spans="1:14" x14ac:dyDescent="0.25">
      <c r="A14" s="31" t="s">
        <v>14</v>
      </c>
      <c r="B14" s="31" t="s">
        <v>15</v>
      </c>
      <c r="C14" s="74"/>
      <c r="D14" s="74"/>
      <c r="E14" s="74"/>
      <c r="F14" s="31" t="s">
        <v>16</v>
      </c>
      <c r="G14" s="31"/>
      <c r="H14" s="31" t="s">
        <v>16</v>
      </c>
      <c r="I14" s="31" t="s">
        <v>16</v>
      </c>
      <c r="J14" s="31" t="s">
        <v>16</v>
      </c>
      <c r="K14" s="31" t="s">
        <v>17</v>
      </c>
    </row>
    <row r="15" spans="1:14" x14ac:dyDescent="0.25">
      <c r="A15" s="20" t="s">
        <v>18</v>
      </c>
      <c r="B15" s="21">
        <v>1</v>
      </c>
      <c r="C15" s="22">
        <v>0.1</v>
      </c>
      <c r="D15" s="23">
        <v>1.5</v>
      </c>
      <c r="E15" s="22">
        <f>+C15*D15</f>
        <v>0.15000000000000002</v>
      </c>
      <c r="F15" s="24">
        <v>6714500</v>
      </c>
      <c r="G15" s="24"/>
      <c r="H15" s="24">
        <f>+(F15*3.68%)</f>
        <v>247093.6</v>
      </c>
      <c r="I15" s="24">
        <f>+(F15+H15)*6.94%</f>
        <v>483134.59584000002</v>
      </c>
      <c r="J15" s="24">
        <f>+(F15+H15+I15)*8.27%</f>
        <v>615679.02179596794</v>
      </c>
      <c r="K15" s="24">
        <f>+(F15+H15+I15+J19)*E15</f>
        <v>1187749.1165063041</v>
      </c>
      <c r="M15" s="8">
        <v>6714500</v>
      </c>
      <c r="N15" s="8">
        <v>6936079</v>
      </c>
    </row>
    <row r="16" spans="1:14" x14ac:dyDescent="0.25">
      <c r="A16" s="20" t="s">
        <v>55</v>
      </c>
      <c r="B16" s="21">
        <v>1</v>
      </c>
      <c r="C16" s="22">
        <v>0.2</v>
      </c>
      <c r="D16" s="23">
        <v>1.5</v>
      </c>
      <c r="E16" s="22">
        <f t="shared" ref="E16:E24" si="0">+C16*D16</f>
        <v>0.30000000000000004</v>
      </c>
      <c r="F16" s="24">
        <v>5165000</v>
      </c>
      <c r="G16" s="24"/>
      <c r="H16" s="24">
        <f t="shared" ref="H16:H18" si="1">+(F16*3.68%)</f>
        <v>190072</v>
      </c>
      <c r="I16" s="24">
        <f t="shared" ref="I16:I18" si="2">+(F16+H16)*6.94%</f>
        <v>371641.99680000002</v>
      </c>
      <c r="J16" s="24">
        <f t="shared" ref="J16:J18" si="3">+(F16+H16+I16)*8.27%</f>
        <v>473599.24753535999</v>
      </c>
      <c r="K16" s="24">
        <f t="shared" ref="K16:K18" si="4">+(F16+H16+I16+J17)*E16</f>
        <v>1860093.9733006083</v>
      </c>
      <c r="M16" s="8"/>
      <c r="N16" s="8"/>
    </row>
    <row r="17" spans="1:14" x14ac:dyDescent="0.25">
      <c r="A17" s="20" t="s">
        <v>56</v>
      </c>
      <c r="B17" s="21">
        <v>1</v>
      </c>
      <c r="C17" s="22">
        <v>0.2</v>
      </c>
      <c r="D17" s="23">
        <v>1.5</v>
      </c>
      <c r="E17" s="22">
        <f t="shared" si="0"/>
        <v>0.30000000000000004</v>
      </c>
      <c r="F17" s="24">
        <v>5165000</v>
      </c>
      <c r="G17" s="24"/>
      <c r="H17" s="24">
        <f t="shared" si="1"/>
        <v>190072</v>
      </c>
      <c r="I17" s="24">
        <f t="shared" si="2"/>
        <v>371641.99680000002</v>
      </c>
      <c r="J17" s="24">
        <f t="shared" si="3"/>
        <v>473599.24753535999</v>
      </c>
      <c r="K17" s="24">
        <f t="shared" si="4"/>
        <v>1860093.9733006083</v>
      </c>
      <c r="M17" s="8"/>
      <c r="N17" s="8"/>
    </row>
    <row r="18" spans="1:14" x14ac:dyDescent="0.25">
      <c r="A18" s="20" t="s">
        <v>57</v>
      </c>
      <c r="B18" s="21">
        <v>1</v>
      </c>
      <c r="C18" s="22">
        <v>0.2</v>
      </c>
      <c r="D18" s="23">
        <v>1.5</v>
      </c>
      <c r="E18" s="22">
        <f t="shared" si="0"/>
        <v>0.30000000000000004</v>
      </c>
      <c r="F18" s="24">
        <v>5165000</v>
      </c>
      <c r="G18" s="24"/>
      <c r="H18" s="24">
        <f t="shared" si="1"/>
        <v>190072</v>
      </c>
      <c r="I18" s="24">
        <f t="shared" si="2"/>
        <v>371641.99680000002</v>
      </c>
      <c r="J18" s="24">
        <f t="shared" si="3"/>
        <v>473599.24753535999</v>
      </c>
      <c r="K18" s="24">
        <f t="shared" si="4"/>
        <v>1860093.9733006083</v>
      </c>
      <c r="M18" s="8"/>
      <c r="N18" s="8"/>
    </row>
    <row r="19" spans="1:14" x14ac:dyDescent="0.25">
      <c r="A19" s="20" t="s">
        <v>19</v>
      </c>
      <c r="B19" s="21">
        <v>1</v>
      </c>
      <c r="C19" s="22">
        <v>0.15</v>
      </c>
      <c r="D19" s="23">
        <v>1.5</v>
      </c>
      <c r="E19" s="22">
        <f t="shared" si="0"/>
        <v>0.22499999999999998</v>
      </c>
      <c r="F19" s="24">
        <v>5165000</v>
      </c>
      <c r="G19" s="24"/>
      <c r="H19" s="24">
        <f t="shared" ref="H19:H24" si="5">+(F19*3.68%)</f>
        <v>190072</v>
      </c>
      <c r="I19" s="24">
        <f t="shared" ref="I19:I24" si="6">+(F19+H19)*6.94%</f>
        <v>371641.99680000002</v>
      </c>
      <c r="J19" s="24">
        <f t="shared" ref="J19:J23" si="7">+(F19+H19+I19)*8.27%</f>
        <v>473599.24753535999</v>
      </c>
      <c r="K19" s="24">
        <f t="shared" ref="K19:K24" si="8">+(F19+H19+I19+J20)*E19</f>
        <v>1373758.5138363647</v>
      </c>
      <c r="M19" s="8">
        <v>5165000</v>
      </c>
      <c r="N19" s="8">
        <v>5335445</v>
      </c>
    </row>
    <row r="20" spans="1:14" x14ac:dyDescent="0.25">
      <c r="A20" s="20" t="s">
        <v>20</v>
      </c>
      <c r="B20" s="21">
        <v>1</v>
      </c>
      <c r="C20" s="22">
        <v>1</v>
      </c>
      <c r="D20" s="23">
        <v>1.5</v>
      </c>
      <c r="E20" s="22">
        <f t="shared" si="0"/>
        <v>1.5</v>
      </c>
      <c r="F20" s="24">
        <v>4132000</v>
      </c>
      <c r="G20" s="24"/>
      <c r="H20" s="24">
        <f t="shared" si="5"/>
        <v>152057.60000000001</v>
      </c>
      <c r="I20" s="24">
        <f t="shared" si="6"/>
        <v>297313.59743999998</v>
      </c>
      <c r="J20" s="24">
        <f t="shared" si="7"/>
        <v>378879.39802828792</v>
      </c>
      <c r="K20" s="24">
        <f t="shared" si="8"/>
        <v>7184632.2995333374</v>
      </c>
      <c r="M20" s="8">
        <v>4132000</v>
      </c>
      <c r="N20" s="8">
        <v>4268356</v>
      </c>
    </row>
    <row r="21" spans="1:14" x14ac:dyDescent="0.25">
      <c r="A21" s="20" t="s">
        <v>21</v>
      </c>
      <c r="B21" s="21">
        <v>1</v>
      </c>
      <c r="C21" s="22">
        <v>0.35</v>
      </c>
      <c r="D21" s="23">
        <v>1.5</v>
      </c>
      <c r="E21" s="22">
        <f t="shared" si="0"/>
        <v>0.52499999999999991</v>
      </c>
      <c r="F21" s="24">
        <v>2272600</v>
      </c>
      <c r="G21" s="24"/>
      <c r="H21" s="24">
        <f t="shared" si="5"/>
        <v>83631.679999999993</v>
      </c>
      <c r="I21" s="24">
        <f t="shared" si="6"/>
        <v>163522.47859200003</v>
      </c>
      <c r="J21" s="24">
        <f t="shared" si="7"/>
        <v>208383.6689155584</v>
      </c>
      <c r="K21" s="24">
        <f t="shared" si="8"/>
        <v>1432272.359441468</v>
      </c>
      <c r="M21" s="8">
        <v>2272600</v>
      </c>
      <c r="N21" s="8">
        <v>2347596</v>
      </c>
    </row>
    <row r="22" spans="1:14" x14ac:dyDescent="0.25">
      <c r="A22" s="20" t="s">
        <v>22</v>
      </c>
      <c r="B22" s="21">
        <v>1</v>
      </c>
      <c r="C22" s="22">
        <v>0.35</v>
      </c>
      <c r="D22" s="23">
        <v>1.5</v>
      </c>
      <c r="E22" s="22">
        <f t="shared" si="0"/>
        <v>0.52499999999999991</v>
      </c>
      <c r="F22" s="24">
        <v>2272600</v>
      </c>
      <c r="G22" s="24"/>
      <c r="H22" s="24">
        <f t="shared" si="5"/>
        <v>83631.679999999993</v>
      </c>
      <c r="I22" s="24">
        <f t="shared" si="6"/>
        <v>163522.47859200003</v>
      </c>
      <c r="J22" s="24">
        <f t="shared" si="7"/>
        <v>208383.6689155584</v>
      </c>
      <c r="K22" s="24">
        <f t="shared" si="8"/>
        <v>1397462.814747619</v>
      </c>
      <c r="M22" s="8">
        <v>2272600</v>
      </c>
      <c r="N22" s="8">
        <v>2347596</v>
      </c>
    </row>
    <row r="23" spans="1:14" x14ac:dyDescent="0.25">
      <c r="A23" s="20" t="s">
        <v>23</v>
      </c>
      <c r="B23" s="21">
        <v>1</v>
      </c>
      <c r="C23" s="22">
        <v>1</v>
      </c>
      <c r="D23" s="23">
        <v>1.5</v>
      </c>
      <c r="E23" s="22">
        <f t="shared" si="0"/>
        <v>1.5</v>
      </c>
      <c r="F23" s="24">
        <v>1549500</v>
      </c>
      <c r="G23" s="24"/>
      <c r="H23" s="24">
        <f t="shared" si="5"/>
        <v>57021.599999999999</v>
      </c>
      <c r="I23" s="24">
        <f t="shared" si="6"/>
        <v>111492.59904000002</v>
      </c>
      <c r="J23" s="24">
        <f t="shared" si="7"/>
        <v>142079.77426060801</v>
      </c>
      <c r="K23" s="24">
        <f>+(F23+H23+I23+J24)*E23</f>
        <v>2889596.8019333379</v>
      </c>
      <c r="M23" s="8">
        <v>1549500</v>
      </c>
      <c r="N23" s="8">
        <v>1600634</v>
      </c>
    </row>
    <row r="24" spans="1:14" ht="27.6" x14ac:dyDescent="0.25">
      <c r="A24" s="20" t="s">
        <v>24</v>
      </c>
      <c r="B24" s="21">
        <v>1</v>
      </c>
      <c r="C24" s="22">
        <v>0.3</v>
      </c>
      <c r="D24" s="23">
        <v>1.5</v>
      </c>
      <c r="E24" s="22">
        <f t="shared" si="0"/>
        <v>0.44999999999999996</v>
      </c>
      <c r="F24" s="24">
        <v>2272600</v>
      </c>
      <c r="G24" s="24"/>
      <c r="H24" s="24">
        <f t="shared" si="5"/>
        <v>83631.679999999993</v>
      </c>
      <c r="I24" s="24">
        <f t="shared" si="6"/>
        <v>163522.47859200003</v>
      </c>
      <c r="J24" s="24">
        <f>+(F24+H24+I24)*8.27%</f>
        <v>208383.6689155584</v>
      </c>
      <c r="K24" s="24">
        <f t="shared" si="8"/>
        <v>1133889.3713664</v>
      </c>
      <c r="M24" s="8">
        <v>2272600</v>
      </c>
      <c r="N24" s="8">
        <v>2347596</v>
      </c>
    </row>
    <row r="25" spans="1:14" x14ac:dyDescent="0.25">
      <c r="A25" s="79"/>
      <c r="B25" s="79"/>
      <c r="C25" s="31" t="s">
        <v>25</v>
      </c>
      <c r="D25" s="32"/>
      <c r="F25" s="33">
        <f>SUM(F15:F24)</f>
        <v>39873800</v>
      </c>
      <c r="G25" s="33"/>
      <c r="H25" s="32"/>
      <c r="I25" s="32"/>
      <c r="J25" s="32"/>
      <c r="K25" s="33">
        <f>SUM(K15:K24)</f>
        <v>22179643.197266657</v>
      </c>
    </row>
    <row r="26" spans="1:14" x14ac:dyDescent="0.25">
      <c r="A26" s="80"/>
      <c r="B26" s="80"/>
      <c r="C26" s="68" t="s">
        <v>26</v>
      </c>
      <c r="D26" s="69"/>
      <c r="F26" s="35">
        <v>2.4</v>
      </c>
      <c r="G26" s="82"/>
      <c r="H26" s="34"/>
      <c r="I26" s="34"/>
      <c r="J26" s="34"/>
      <c r="K26" s="35">
        <v>2.4</v>
      </c>
    </row>
    <row r="27" spans="1:14" x14ac:dyDescent="0.25">
      <c r="A27" s="80"/>
      <c r="B27" s="80"/>
      <c r="C27" s="70" t="s">
        <v>27</v>
      </c>
      <c r="D27" s="71"/>
      <c r="F27" s="36">
        <f>+F25*F26</f>
        <v>95697120</v>
      </c>
      <c r="G27" s="83"/>
      <c r="H27" s="30"/>
      <c r="I27" s="30"/>
      <c r="J27" s="30"/>
      <c r="K27" s="36">
        <f>+K25*K26</f>
        <v>53231143.673439972</v>
      </c>
    </row>
    <row r="28" spans="1:14" x14ac:dyDescent="0.25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</row>
    <row r="29" spans="1:14" x14ac:dyDescent="0.25">
      <c r="A29" s="75" t="s">
        <v>28</v>
      </c>
      <c r="B29" s="73" t="s">
        <v>29</v>
      </c>
      <c r="C29" s="75" t="s">
        <v>30</v>
      </c>
      <c r="D29" s="75" t="s">
        <v>10</v>
      </c>
      <c r="E29" s="75" t="s">
        <v>31</v>
      </c>
      <c r="F29" s="31" t="s">
        <v>32</v>
      </c>
      <c r="G29" s="31"/>
      <c r="H29" s="31" t="s">
        <v>3</v>
      </c>
      <c r="I29" s="31" t="s">
        <v>0</v>
      </c>
      <c r="J29" s="31" t="s">
        <v>1</v>
      </c>
      <c r="K29" s="31" t="s">
        <v>12</v>
      </c>
    </row>
    <row r="30" spans="1:14" x14ac:dyDescent="0.25">
      <c r="A30" s="76"/>
      <c r="B30" s="74"/>
      <c r="C30" s="76"/>
      <c r="D30" s="76"/>
      <c r="E30" s="76"/>
      <c r="F30" s="20" t="s">
        <v>33</v>
      </c>
      <c r="G30" s="20"/>
      <c r="H30" s="31" t="s">
        <v>16</v>
      </c>
      <c r="I30" s="31" t="s">
        <v>16</v>
      </c>
      <c r="J30" s="31" t="s">
        <v>16</v>
      </c>
      <c r="K30" s="20" t="s">
        <v>34</v>
      </c>
    </row>
    <row r="31" spans="1:14" x14ac:dyDescent="0.25">
      <c r="A31" s="20" t="s">
        <v>35</v>
      </c>
      <c r="B31" s="31" t="s">
        <v>36</v>
      </c>
      <c r="C31" s="22">
        <v>1</v>
      </c>
      <c r="D31" s="23">
        <v>1.5</v>
      </c>
      <c r="E31" s="22">
        <f>+C31*D31</f>
        <v>1.5</v>
      </c>
      <c r="F31" s="37">
        <v>3875477</v>
      </c>
      <c r="G31" s="37"/>
      <c r="H31" s="37">
        <f>+(F31*5.61%)</f>
        <v>217414.25970000002</v>
      </c>
      <c r="I31" s="37">
        <f>+(F31+H31)*6.94%</f>
        <v>284046.65342317999</v>
      </c>
      <c r="J31" s="37">
        <f>+(F31+H31+I31)*8.78%</f>
        <v>384295.14877221518</v>
      </c>
      <c r="K31" s="37">
        <f>+(F31+H31+I31+J31)*E31</f>
        <v>7141849.592843093</v>
      </c>
      <c r="M31" s="8">
        <v>3751672</v>
      </c>
      <c r="N31" s="8">
        <v>3875477</v>
      </c>
    </row>
    <row r="32" spans="1:14" x14ac:dyDescent="0.25">
      <c r="A32" s="20" t="s">
        <v>37</v>
      </c>
      <c r="B32" s="31" t="s">
        <v>38</v>
      </c>
      <c r="C32" s="22">
        <v>0.15</v>
      </c>
      <c r="D32" s="23">
        <v>1.5</v>
      </c>
      <c r="E32" s="22">
        <f t="shared" ref="E32:E36" si="9">+C32*D32</f>
        <v>0.22499999999999998</v>
      </c>
      <c r="F32" s="37">
        <v>3233290</v>
      </c>
      <c r="G32" s="37"/>
      <c r="H32" s="37">
        <f>+(F32*3.68%)</f>
        <v>118985.072</v>
      </c>
      <c r="I32" s="37">
        <f t="shared" ref="I32:I34" si="10">+(F32+H32)*6.94%</f>
        <v>232647.88999680002</v>
      </c>
      <c r="J32" s="37">
        <f>+(F32+H32+I32)*8.78%</f>
        <v>314756.23606331903</v>
      </c>
      <c r="K32" s="37">
        <f t="shared" ref="K32:K36" si="11">+(F32+H32+I32+J33)*E32</f>
        <v>807051.9656560017</v>
      </c>
      <c r="M32" s="8">
        <v>3130000</v>
      </c>
      <c r="N32" s="8">
        <v>3233290</v>
      </c>
    </row>
    <row r="33" spans="1:14" x14ac:dyDescent="0.25">
      <c r="A33" s="20" t="s">
        <v>39</v>
      </c>
      <c r="B33" s="31" t="s">
        <v>36</v>
      </c>
      <c r="C33" s="22">
        <v>0.1</v>
      </c>
      <c r="D33" s="23">
        <v>1.5</v>
      </c>
      <c r="E33" s="22">
        <f t="shared" si="9"/>
        <v>0.15000000000000002</v>
      </c>
      <c r="F33" s="37">
        <v>746962</v>
      </c>
      <c r="G33" s="37"/>
      <c r="H33" s="37">
        <f>+(F33*-12.1%)</f>
        <v>-90382.402000000002</v>
      </c>
      <c r="I33" s="37">
        <f>+(F33+H33)*0.25%</f>
        <v>1641.448995</v>
      </c>
      <c r="J33" s="37">
        <f>+(F33+H33+I33)*0.3%</f>
        <v>1974.6631409849999</v>
      </c>
      <c r="K33" s="37">
        <f t="shared" si="11"/>
        <v>103870.04922452844</v>
      </c>
      <c r="M33" s="8">
        <v>723100</v>
      </c>
      <c r="N33" s="8">
        <v>746962</v>
      </c>
    </row>
    <row r="34" spans="1:14" x14ac:dyDescent="0.25">
      <c r="A34" s="20" t="s">
        <v>40</v>
      </c>
      <c r="B34" s="31" t="s">
        <v>36</v>
      </c>
      <c r="C34" s="22">
        <v>1</v>
      </c>
      <c r="D34" s="23">
        <v>1.5</v>
      </c>
      <c r="E34" s="22">
        <f t="shared" si="9"/>
        <v>1.5</v>
      </c>
      <c r="F34" s="37">
        <v>373481</v>
      </c>
      <c r="G34" s="37"/>
      <c r="H34" s="37">
        <f t="shared" ref="H34" si="12">+(F34*3.68%)</f>
        <v>13744.1008</v>
      </c>
      <c r="I34" s="37">
        <f t="shared" si="10"/>
        <v>26873.421995520002</v>
      </c>
      <c r="J34" s="37">
        <f t="shared" ref="J34" si="13">+(F34+H34+I34)*8.27%</f>
        <v>34245.947835189501</v>
      </c>
      <c r="K34" s="37">
        <f t="shared" si="11"/>
        <v>872250.15495869983</v>
      </c>
      <c r="M34" s="8">
        <v>361550</v>
      </c>
      <c r="N34" s="8">
        <v>373481</v>
      </c>
    </row>
    <row r="35" spans="1:14" x14ac:dyDescent="0.25">
      <c r="A35" s="20" t="s">
        <v>41</v>
      </c>
      <c r="B35" s="31" t="s">
        <v>36</v>
      </c>
      <c r="C35" s="22">
        <v>0.15</v>
      </c>
      <c r="D35" s="23">
        <v>1.5</v>
      </c>
      <c r="E35" s="22">
        <f t="shared" si="9"/>
        <v>0.22499999999999998</v>
      </c>
      <c r="F35" s="37">
        <v>1493925</v>
      </c>
      <c r="G35" s="37"/>
      <c r="H35" s="37">
        <f>+(F35*4.19%)</f>
        <v>62595.457500000011</v>
      </c>
      <c r="I35" s="37">
        <f>+(F35+H35)*13.09%</f>
        <v>203748.52788674997</v>
      </c>
      <c r="J35" s="37">
        <f>+(F35+H35+I35)*9.51%</f>
        <v>167401.58051027992</v>
      </c>
      <c r="K35" s="37">
        <f t="shared" si="11"/>
        <v>405476.8543126352</v>
      </c>
      <c r="M35" s="8">
        <v>1446200</v>
      </c>
      <c r="N35" s="8">
        <v>1493925</v>
      </c>
    </row>
    <row r="36" spans="1:14" x14ac:dyDescent="0.25">
      <c r="A36" s="20" t="s">
        <v>42</v>
      </c>
      <c r="B36" s="31" t="s">
        <v>36</v>
      </c>
      <c r="C36" s="22">
        <v>1</v>
      </c>
      <c r="D36" s="23">
        <v>1.5</v>
      </c>
      <c r="E36" s="22">
        <f t="shared" si="9"/>
        <v>1.5</v>
      </c>
      <c r="F36" s="37">
        <v>373481</v>
      </c>
      <c r="G36" s="37"/>
      <c r="H36" s="37">
        <f>+(F36*4.19%)</f>
        <v>15648.853900000002</v>
      </c>
      <c r="I36" s="37">
        <f>+(F36+H36)*13.09%</f>
        <v>50937.097875509993</v>
      </c>
      <c r="J36" s="37">
        <f>+(F36+H36+I36)*9.51%</f>
        <v>41850.367113851004</v>
      </c>
      <c r="K36" s="37">
        <f t="shared" si="11"/>
        <v>660100.42766326503</v>
      </c>
      <c r="M36" s="8">
        <v>361550</v>
      </c>
      <c r="N36" s="8">
        <v>373481</v>
      </c>
    </row>
    <row r="37" spans="1:14" x14ac:dyDescent="0.25">
      <c r="A37" s="79"/>
      <c r="B37" s="79"/>
      <c r="C37" s="31" t="s">
        <v>25</v>
      </c>
      <c r="D37" s="38"/>
      <c r="F37" s="37">
        <f>SUM(F31:F36)</f>
        <v>10096616</v>
      </c>
      <c r="G37" s="37"/>
      <c r="H37" s="38"/>
      <c r="I37" s="38"/>
      <c r="J37" s="38"/>
      <c r="K37" s="37">
        <f>SUM(K31:K36)</f>
        <v>9990599.0446582232</v>
      </c>
    </row>
    <row r="38" spans="1:14" x14ac:dyDescent="0.25">
      <c r="A38" s="80"/>
      <c r="B38" s="80"/>
      <c r="C38" s="68" t="s">
        <v>26</v>
      </c>
      <c r="D38" s="69"/>
      <c r="F38" s="39">
        <v>1.1000000000000001</v>
      </c>
      <c r="G38" s="84"/>
      <c r="H38" s="34"/>
      <c r="I38" s="34"/>
      <c r="J38" s="34"/>
      <c r="K38" s="39">
        <v>1.1000000000000001</v>
      </c>
    </row>
    <row r="39" spans="1:14" x14ac:dyDescent="0.25">
      <c r="A39" s="80"/>
      <c r="B39" s="80"/>
      <c r="C39" s="70" t="s">
        <v>27</v>
      </c>
      <c r="D39" s="71"/>
      <c r="F39" s="40">
        <f>+F37*F38</f>
        <v>11106277.600000001</v>
      </c>
      <c r="G39" s="85"/>
      <c r="H39" s="30"/>
      <c r="I39" s="30"/>
      <c r="J39" s="30"/>
      <c r="K39" s="40">
        <f>+K37*K38</f>
        <v>10989658.949124046</v>
      </c>
    </row>
    <row r="41" spans="1:14" hidden="1" x14ac:dyDescent="0.25"/>
    <row r="42" spans="1:14" ht="39.6" hidden="1" customHeight="1" x14ac:dyDescent="0.25">
      <c r="A42" s="3" t="s">
        <v>48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72" t="s">
        <v>46</v>
      </c>
      <c r="M42" s="72"/>
      <c r="N42" s="72"/>
    </row>
    <row r="43" spans="1:14" hidden="1" x14ac:dyDescent="0.25"/>
    <row r="44" spans="1:14" x14ac:dyDescent="0.25">
      <c r="A44" s="59" t="s">
        <v>58</v>
      </c>
      <c r="B44" s="41"/>
      <c r="C44" s="42"/>
      <c r="D44" s="42"/>
      <c r="E44" s="42"/>
      <c r="F44" s="42"/>
      <c r="G44" s="42"/>
      <c r="H44" s="42"/>
      <c r="I44" s="42"/>
      <c r="J44" s="42"/>
      <c r="K44" s="42"/>
    </row>
    <row r="45" spans="1:14" x14ac:dyDescent="0.2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</row>
    <row r="46" spans="1:14" x14ac:dyDescent="0.25">
      <c r="A46" s="62" t="s">
        <v>8</v>
      </c>
      <c r="B46" s="63"/>
      <c r="C46" s="66" t="s">
        <v>9</v>
      </c>
      <c r="D46" s="66" t="s">
        <v>10</v>
      </c>
      <c r="E46" s="66" t="s">
        <v>11</v>
      </c>
      <c r="F46" s="44" t="s">
        <v>2</v>
      </c>
      <c r="G46" s="44"/>
      <c r="H46" s="44" t="s">
        <v>3</v>
      </c>
      <c r="I46" s="44" t="s">
        <v>0</v>
      </c>
      <c r="J46" s="44" t="s">
        <v>1</v>
      </c>
      <c r="K46" s="44" t="s">
        <v>12</v>
      </c>
    </row>
    <row r="47" spans="1:14" x14ac:dyDescent="0.25">
      <c r="A47" s="44" t="s">
        <v>14</v>
      </c>
      <c r="B47" s="44" t="s">
        <v>15</v>
      </c>
      <c r="C47" s="67"/>
      <c r="D47" s="67"/>
      <c r="E47" s="67"/>
      <c r="F47" s="44" t="s">
        <v>16</v>
      </c>
      <c r="G47" s="44"/>
      <c r="H47" s="44" t="s">
        <v>16</v>
      </c>
      <c r="I47" s="44" t="s">
        <v>16</v>
      </c>
      <c r="J47" s="44" t="s">
        <v>16</v>
      </c>
      <c r="K47" s="44" t="s">
        <v>17</v>
      </c>
    </row>
    <row r="48" spans="1:14" x14ac:dyDescent="0.25">
      <c r="A48" s="45" t="s">
        <v>18</v>
      </c>
      <c r="B48" s="46">
        <v>1</v>
      </c>
      <c r="C48" s="47">
        <v>0.1</v>
      </c>
      <c r="D48" s="46">
        <v>8</v>
      </c>
      <c r="E48" s="47">
        <f>+C48*D48</f>
        <v>0.8</v>
      </c>
      <c r="F48" s="48">
        <v>6714500</v>
      </c>
      <c r="G48" s="48">
        <f>+F48*E48</f>
        <v>5371600</v>
      </c>
      <c r="H48" s="48">
        <f>+(F48*3.68%)</f>
        <v>247093.6</v>
      </c>
      <c r="I48" s="48">
        <f>+(F48+H48)*6.94%</f>
        <v>483134.59584000002</v>
      </c>
      <c r="J48" s="48">
        <f>+(F48+H48+I48)*8.27%</f>
        <v>615679.02179596794</v>
      </c>
      <c r="K48" s="48">
        <f>+(F48+H48+I48+J49)*E48</f>
        <v>6334661.9547002874</v>
      </c>
    </row>
    <row r="49" spans="1:11" x14ac:dyDescent="0.25">
      <c r="A49" s="45" t="s">
        <v>19</v>
      </c>
      <c r="B49" s="46">
        <v>1</v>
      </c>
      <c r="C49" s="47">
        <v>0.15</v>
      </c>
      <c r="D49" s="46">
        <v>6</v>
      </c>
      <c r="E49" s="47">
        <f t="shared" ref="E49:E54" si="14">+C49*D49</f>
        <v>0.89999999999999991</v>
      </c>
      <c r="F49" s="48">
        <v>5165000</v>
      </c>
      <c r="G49" s="48">
        <f t="shared" ref="G49:G54" si="15">+F49*E49</f>
        <v>4648500</v>
      </c>
      <c r="H49" s="48">
        <f t="shared" ref="H49:H54" si="16">+(F49*3.68%)</f>
        <v>190072</v>
      </c>
      <c r="I49" s="48">
        <f t="shared" ref="I49:I54" si="17">+(F49+H49)*6.94%</f>
        <v>371641.99680000002</v>
      </c>
      <c r="J49" s="48">
        <f t="shared" ref="J49:J53" si="18">+(F49+H49+I49)*8.27%</f>
        <v>473599.24753535999</v>
      </c>
      <c r="K49" s="48">
        <f t="shared" ref="K49:K52" si="19">+(F49+H49+I49+J50)*E49</f>
        <v>5495034.0553454589</v>
      </c>
    </row>
    <row r="50" spans="1:11" x14ac:dyDescent="0.25">
      <c r="A50" s="45" t="s">
        <v>20</v>
      </c>
      <c r="B50" s="46">
        <v>1</v>
      </c>
      <c r="C50" s="47">
        <v>1</v>
      </c>
      <c r="D50" s="46">
        <v>8</v>
      </c>
      <c r="E50" s="47">
        <f t="shared" si="14"/>
        <v>8</v>
      </c>
      <c r="F50" s="48">
        <v>4132000</v>
      </c>
      <c r="G50" s="48">
        <f t="shared" si="15"/>
        <v>33056000</v>
      </c>
      <c r="H50" s="48">
        <f t="shared" si="16"/>
        <v>152057.60000000001</v>
      </c>
      <c r="I50" s="48">
        <f t="shared" si="17"/>
        <v>297313.59743999998</v>
      </c>
      <c r="J50" s="48">
        <f t="shared" si="18"/>
        <v>378879.39802828792</v>
      </c>
      <c r="K50" s="48">
        <f t="shared" si="19"/>
        <v>38318038.930844463</v>
      </c>
    </row>
    <row r="51" spans="1:11" x14ac:dyDescent="0.25">
      <c r="A51" s="45" t="s">
        <v>21</v>
      </c>
      <c r="B51" s="46">
        <v>1</v>
      </c>
      <c r="C51" s="47">
        <v>0.35</v>
      </c>
      <c r="D51" s="46">
        <v>6</v>
      </c>
      <c r="E51" s="47">
        <f t="shared" si="14"/>
        <v>2.0999999999999996</v>
      </c>
      <c r="F51" s="48">
        <v>2272600</v>
      </c>
      <c r="G51" s="48">
        <f t="shared" si="15"/>
        <v>4772459.9999999991</v>
      </c>
      <c r="H51" s="48">
        <f t="shared" si="16"/>
        <v>83631.679999999993</v>
      </c>
      <c r="I51" s="48">
        <f t="shared" si="17"/>
        <v>163522.47859200003</v>
      </c>
      <c r="J51" s="48">
        <f t="shared" si="18"/>
        <v>208383.6689155584</v>
      </c>
      <c r="K51" s="48">
        <f t="shared" si="19"/>
        <v>5729089.4377658721</v>
      </c>
    </row>
    <row r="52" spans="1:11" x14ac:dyDescent="0.25">
      <c r="A52" s="45" t="s">
        <v>22</v>
      </c>
      <c r="B52" s="46">
        <v>1</v>
      </c>
      <c r="C52" s="47">
        <v>0.35</v>
      </c>
      <c r="D52" s="46">
        <v>8</v>
      </c>
      <c r="E52" s="47">
        <f t="shared" si="14"/>
        <v>2.8</v>
      </c>
      <c r="F52" s="48">
        <v>2272600</v>
      </c>
      <c r="G52" s="48">
        <f t="shared" si="15"/>
        <v>6363280</v>
      </c>
      <c r="H52" s="48">
        <f t="shared" si="16"/>
        <v>83631.679999999993</v>
      </c>
      <c r="I52" s="48">
        <f t="shared" si="17"/>
        <v>163522.47859200003</v>
      </c>
      <c r="J52" s="48">
        <f t="shared" si="18"/>
        <v>208383.6689155584</v>
      </c>
      <c r="K52" s="48">
        <f t="shared" si="19"/>
        <v>7453135.0119873025</v>
      </c>
    </row>
    <row r="53" spans="1:11" x14ac:dyDescent="0.25">
      <c r="A53" s="45" t="s">
        <v>23</v>
      </c>
      <c r="B53" s="46">
        <v>1</v>
      </c>
      <c r="C53" s="47">
        <v>1</v>
      </c>
      <c r="D53" s="46">
        <v>6</v>
      </c>
      <c r="E53" s="47">
        <f t="shared" si="14"/>
        <v>6</v>
      </c>
      <c r="F53" s="48">
        <v>1549500</v>
      </c>
      <c r="G53" s="48">
        <f t="shared" si="15"/>
        <v>9297000</v>
      </c>
      <c r="H53" s="48">
        <f t="shared" si="16"/>
        <v>57021.599999999999</v>
      </c>
      <c r="I53" s="48">
        <f t="shared" si="17"/>
        <v>111492.59904000002</v>
      </c>
      <c r="J53" s="48">
        <f t="shared" si="18"/>
        <v>142079.77426060801</v>
      </c>
      <c r="K53" s="48">
        <f>+(F53+H53+I53+J54)*E53</f>
        <v>11558387.207733352</v>
      </c>
    </row>
    <row r="54" spans="1:11" ht="27.6" x14ac:dyDescent="0.25">
      <c r="A54" s="45" t="s">
        <v>24</v>
      </c>
      <c r="B54" s="46">
        <v>1</v>
      </c>
      <c r="C54" s="47">
        <v>0.3</v>
      </c>
      <c r="D54" s="46">
        <v>6</v>
      </c>
      <c r="E54" s="47">
        <f t="shared" si="14"/>
        <v>1.7999999999999998</v>
      </c>
      <c r="F54" s="48">
        <v>2272600</v>
      </c>
      <c r="G54" s="48">
        <f t="shared" si="15"/>
        <v>4090679.9999999995</v>
      </c>
      <c r="H54" s="48">
        <f t="shared" si="16"/>
        <v>83631.679999999993</v>
      </c>
      <c r="I54" s="48">
        <f t="shared" si="17"/>
        <v>163522.47859200003</v>
      </c>
      <c r="J54" s="48">
        <f>+(F54+H54+I54)*8.27%</f>
        <v>208383.6689155584</v>
      </c>
      <c r="K54" s="48">
        <f t="shared" ref="K54" si="20">+(F54+H54+I54+J55)*E54</f>
        <v>4535557.4854656002</v>
      </c>
    </row>
    <row r="55" spans="1:11" x14ac:dyDescent="0.25">
      <c r="A55" s="77"/>
      <c r="B55" s="77"/>
      <c r="C55" s="44" t="s">
        <v>25</v>
      </c>
      <c r="D55" s="49"/>
      <c r="G55" s="50">
        <f>SUM(G48:G54)</f>
        <v>67599520</v>
      </c>
      <c r="H55" s="49"/>
      <c r="I55" s="49"/>
      <c r="J55" s="49"/>
      <c r="K55" s="50">
        <f>SUM(K48:K54)</f>
        <v>79423904.083842337</v>
      </c>
    </row>
    <row r="56" spans="1:11" x14ac:dyDescent="0.25">
      <c r="A56" s="78"/>
      <c r="B56" s="78"/>
      <c r="C56" s="60" t="s">
        <v>26</v>
      </c>
      <c r="D56" s="61"/>
      <c r="G56" s="52">
        <v>2.4</v>
      </c>
      <c r="H56" s="51"/>
      <c r="I56" s="51"/>
      <c r="J56" s="51"/>
      <c r="K56" s="52">
        <v>2.4</v>
      </c>
    </row>
    <row r="57" spans="1:11" x14ac:dyDescent="0.25">
      <c r="A57" s="78"/>
      <c r="B57" s="78"/>
      <c r="C57" s="62" t="s">
        <v>27</v>
      </c>
      <c r="D57" s="63"/>
      <c r="G57" s="53">
        <f>+G55*G56</f>
        <v>162238848</v>
      </c>
      <c r="H57" s="43"/>
      <c r="I57" s="43"/>
      <c r="J57" s="43"/>
      <c r="K57" s="53">
        <f>+K55*K56</f>
        <v>190617369.80122161</v>
      </c>
    </row>
    <row r="58" spans="1:11" x14ac:dyDescent="0.25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</row>
    <row r="59" spans="1:11" x14ac:dyDescent="0.25">
      <c r="A59" s="64" t="s">
        <v>28</v>
      </c>
      <c r="B59" s="66" t="s">
        <v>29</v>
      </c>
      <c r="C59" s="64" t="s">
        <v>30</v>
      </c>
      <c r="D59" s="64" t="s">
        <v>10</v>
      </c>
      <c r="E59" s="64" t="s">
        <v>31</v>
      </c>
      <c r="F59" s="44" t="s">
        <v>32</v>
      </c>
      <c r="G59" s="44"/>
      <c r="H59" s="44" t="s">
        <v>3</v>
      </c>
      <c r="I59" s="44" t="s">
        <v>0</v>
      </c>
      <c r="J59" s="44" t="s">
        <v>1</v>
      </c>
      <c r="K59" s="44" t="s">
        <v>12</v>
      </c>
    </row>
    <row r="60" spans="1:11" x14ac:dyDescent="0.25">
      <c r="A60" s="65"/>
      <c r="B60" s="67"/>
      <c r="C60" s="65"/>
      <c r="D60" s="65"/>
      <c r="E60" s="65"/>
      <c r="F60" s="45" t="s">
        <v>33</v>
      </c>
      <c r="G60" s="45"/>
      <c r="H60" s="44" t="s">
        <v>16</v>
      </c>
      <c r="I60" s="44" t="s">
        <v>16</v>
      </c>
      <c r="J60" s="44" t="s">
        <v>16</v>
      </c>
      <c r="K60" s="45" t="s">
        <v>34</v>
      </c>
    </row>
    <row r="61" spans="1:11" x14ac:dyDescent="0.25">
      <c r="A61" s="45" t="s">
        <v>35</v>
      </c>
      <c r="B61" s="44" t="s">
        <v>36</v>
      </c>
      <c r="C61" s="47">
        <v>1</v>
      </c>
      <c r="D61" s="46">
        <v>8</v>
      </c>
      <c r="E61" s="47">
        <v>9</v>
      </c>
      <c r="F61" s="54">
        <v>3875477</v>
      </c>
      <c r="G61" s="86">
        <f>+E61*F61</f>
        <v>34879293</v>
      </c>
      <c r="H61" s="54">
        <f>+(F61*5.61%)</f>
        <v>217414.25970000002</v>
      </c>
      <c r="I61" s="54">
        <f>+(F61+H61)*6.94%</f>
        <v>284046.65342317999</v>
      </c>
      <c r="J61" s="54">
        <f>+(F61+H61+I61)*8.78%</f>
        <v>384295.14877221518</v>
      </c>
      <c r="K61" s="54">
        <f>+(F61+H61+I61+J61)*E61</f>
        <v>42851097.557058558</v>
      </c>
    </row>
    <row r="62" spans="1:11" x14ac:dyDescent="0.25">
      <c r="A62" s="45" t="s">
        <v>37</v>
      </c>
      <c r="B62" s="44" t="s">
        <v>38</v>
      </c>
      <c r="C62" s="47">
        <v>0.1</v>
      </c>
      <c r="D62" s="46">
        <v>8</v>
      </c>
      <c r="E62" s="47">
        <v>0.9</v>
      </c>
      <c r="F62" s="54">
        <v>3233290</v>
      </c>
      <c r="G62" s="86">
        <f t="shared" ref="G62:G66" si="21">+E62*F62</f>
        <v>2909961</v>
      </c>
      <c r="H62" s="54">
        <f>+(F62*3.68%)</f>
        <v>118985.072</v>
      </c>
      <c r="I62" s="54">
        <f t="shared" ref="I62" si="22">+(F62+H62)*6.94%</f>
        <v>232647.88999680002</v>
      </c>
      <c r="J62" s="54">
        <f>+(F62+H62+I62)*8.78%</f>
        <v>314756.23606331903</v>
      </c>
      <c r="K62" s="54">
        <f>+(F62+H62+I62+J63)*E62</f>
        <v>3228207.8626240068</v>
      </c>
    </row>
    <row r="63" spans="1:11" x14ac:dyDescent="0.25">
      <c r="A63" s="45" t="s">
        <v>39</v>
      </c>
      <c r="B63" s="44" t="s">
        <v>36</v>
      </c>
      <c r="C63" s="47">
        <v>0.5</v>
      </c>
      <c r="D63" s="46">
        <v>8</v>
      </c>
      <c r="E63" s="47">
        <v>4.5</v>
      </c>
      <c r="F63" s="54">
        <v>746962</v>
      </c>
      <c r="G63" s="86">
        <f t="shared" si="21"/>
        <v>3361329</v>
      </c>
      <c r="H63" s="54">
        <f>+(F63*-12.1%)</f>
        <v>-90382.402000000002</v>
      </c>
      <c r="I63" s="54">
        <f>+(F63+H63)*0.25%</f>
        <v>1641.448995</v>
      </c>
      <c r="J63" s="54">
        <f>+(F63+H63+I63)*0.3%</f>
        <v>1974.6631409849999</v>
      </c>
      <c r="K63" s="54">
        <f>+(F63+H63+I63+J64)*E63</f>
        <v>3116101.4767358527</v>
      </c>
    </row>
    <row r="64" spans="1:11" x14ac:dyDescent="0.25">
      <c r="A64" s="45" t="s">
        <v>40</v>
      </c>
      <c r="B64" s="44" t="s">
        <v>36</v>
      </c>
      <c r="C64" s="47">
        <v>1</v>
      </c>
      <c r="D64" s="46">
        <v>8</v>
      </c>
      <c r="E64" s="47">
        <v>9</v>
      </c>
      <c r="F64" s="54">
        <v>373481</v>
      </c>
      <c r="G64" s="86">
        <f t="shared" si="21"/>
        <v>3361329</v>
      </c>
      <c r="H64" s="54">
        <f t="shared" ref="H64" si="23">+(F64*3.68%)</f>
        <v>13744.1008</v>
      </c>
      <c r="I64" s="54">
        <f t="shared" ref="I64" si="24">+(F64+H64)*6.94%</f>
        <v>26873.421995520002</v>
      </c>
      <c r="J64" s="54">
        <f t="shared" ref="J64" si="25">+(F64+H64+I64)*8.27%</f>
        <v>34245.947835189501</v>
      </c>
      <c r="K64" s="54">
        <f>+(F64+H64+I64+J65)*E64</f>
        <v>5233500.929752199</v>
      </c>
    </row>
    <row r="65" spans="1:11" x14ac:dyDescent="0.25">
      <c r="A65" s="45" t="s">
        <v>41</v>
      </c>
      <c r="B65" s="44" t="s">
        <v>36</v>
      </c>
      <c r="C65" s="47">
        <v>0.15</v>
      </c>
      <c r="D65" s="46">
        <v>8</v>
      </c>
      <c r="E65" s="47">
        <v>1.35</v>
      </c>
      <c r="F65" s="54">
        <v>1493925</v>
      </c>
      <c r="G65" s="86">
        <f t="shared" si="21"/>
        <v>2016798.7500000002</v>
      </c>
      <c r="H65" s="54">
        <f>+(F65*4.19%)</f>
        <v>62595.457500000011</v>
      </c>
      <c r="I65" s="54">
        <f>+(F65+H65)*13.09%</f>
        <v>203748.52788674997</v>
      </c>
      <c r="J65" s="54">
        <f>+(F65+H65+I65)*9.51%</f>
        <v>167401.58051027992</v>
      </c>
      <c r="K65" s="54">
        <f>+(F65+H65+I65+J66)*E65</f>
        <v>2432861.1258758116</v>
      </c>
    </row>
    <row r="66" spans="1:11" x14ac:dyDescent="0.25">
      <c r="A66" s="45" t="s">
        <v>42</v>
      </c>
      <c r="B66" s="44" t="s">
        <v>36</v>
      </c>
      <c r="C66" s="47">
        <v>1</v>
      </c>
      <c r="D66" s="46">
        <v>8</v>
      </c>
      <c r="E66" s="47">
        <v>9</v>
      </c>
      <c r="F66" s="54">
        <v>373481</v>
      </c>
      <c r="G66" s="86">
        <f t="shared" si="21"/>
        <v>3361329</v>
      </c>
      <c r="H66" s="54">
        <f>+(F66*4.19%)</f>
        <v>15648.853900000002</v>
      </c>
      <c r="I66" s="54">
        <f>+(F66+H66)*13.09%</f>
        <v>50937.097875509993</v>
      </c>
      <c r="J66" s="54">
        <f>+(F66+H66+I66)*9.51%</f>
        <v>41850.367113851004</v>
      </c>
      <c r="K66" s="54">
        <f>+(F66+H66+I66+J67)*E66</f>
        <v>3960602.5659795897</v>
      </c>
    </row>
    <row r="67" spans="1:11" x14ac:dyDescent="0.25">
      <c r="A67" s="77"/>
      <c r="B67" s="77"/>
      <c r="C67" s="77"/>
      <c r="D67" s="55"/>
      <c r="E67" s="44" t="s">
        <v>25</v>
      </c>
      <c r="F67" s="54"/>
      <c r="G67" s="50">
        <f>SUM(G60:G66)</f>
        <v>49890039.75</v>
      </c>
      <c r="H67" s="55"/>
      <c r="I67" s="55"/>
      <c r="J67" s="55"/>
      <c r="K67" s="54">
        <f>SUM(K61:K66)</f>
        <v>60822371.518026017</v>
      </c>
    </row>
    <row r="68" spans="1:11" ht="13.8" customHeight="1" x14ac:dyDescent="0.25">
      <c r="A68" s="78"/>
      <c r="B68" s="78"/>
      <c r="C68" s="78"/>
      <c r="D68" s="88"/>
      <c r="E68" s="87" t="s">
        <v>26</v>
      </c>
      <c r="F68" s="56"/>
      <c r="G68" s="52">
        <v>1.1000000000000001</v>
      </c>
      <c r="H68" s="51"/>
      <c r="I68" s="51"/>
      <c r="J68" s="51"/>
      <c r="K68" s="56">
        <v>1.1000000000000001</v>
      </c>
    </row>
    <row r="69" spans="1:11" x14ac:dyDescent="0.25">
      <c r="A69" s="78"/>
      <c r="B69" s="78"/>
      <c r="C69" s="78"/>
      <c r="D69" s="88"/>
      <c r="E69" s="87" t="s">
        <v>27</v>
      </c>
      <c r="F69" s="57"/>
      <c r="G69" s="53">
        <f>+G67*G68</f>
        <v>54879043.725000001</v>
      </c>
      <c r="H69" s="43"/>
      <c r="I69" s="43"/>
      <c r="J69" s="43"/>
      <c r="K69" s="57">
        <f>+K67*K68</f>
        <v>66904608.669828624</v>
      </c>
    </row>
    <row r="71" spans="1:11" x14ac:dyDescent="0.25">
      <c r="A71" s="25" t="s">
        <v>62</v>
      </c>
      <c r="B71" s="89" t="s">
        <v>59</v>
      </c>
      <c r="C71" s="90" t="s">
        <v>60</v>
      </c>
      <c r="D71" s="26" t="s">
        <v>61</v>
      </c>
    </row>
    <row r="72" spans="1:11" x14ac:dyDescent="0.25">
      <c r="A72" s="92" t="s">
        <v>8</v>
      </c>
      <c r="B72" s="93">
        <f>+K27</f>
        <v>53231143.673439972</v>
      </c>
      <c r="C72" s="94">
        <f>+K57</f>
        <v>190617369.80122161</v>
      </c>
      <c r="D72" s="95">
        <f>+B72+C72</f>
        <v>243848513.47466159</v>
      </c>
    </row>
    <row r="73" spans="1:11" x14ac:dyDescent="0.25">
      <c r="A73" s="92" t="s">
        <v>43</v>
      </c>
      <c r="B73" s="93">
        <f>+K39</f>
        <v>10989658.949124046</v>
      </c>
      <c r="C73" s="94">
        <f>+K69</f>
        <v>66904608.669828624</v>
      </c>
      <c r="D73" s="95">
        <f t="shared" ref="D73:D76" si="26">+B73+C73</f>
        <v>77894267.618952662</v>
      </c>
    </row>
    <row r="74" spans="1:11" x14ac:dyDescent="0.25">
      <c r="A74" s="92" t="s">
        <v>25</v>
      </c>
      <c r="B74" s="93">
        <f>+B72+B73</f>
        <v>64220802.622564018</v>
      </c>
      <c r="C74" s="93">
        <f>+C72+C73</f>
        <v>257521978.47105023</v>
      </c>
      <c r="D74" s="95">
        <f t="shared" si="26"/>
        <v>321742781.09361422</v>
      </c>
    </row>
    <row r="75" spans="1:11" x14ac:dyDescent="0.25">
      <c r="A75" s="92" t="s">
        <v>44</v>
      </c>
      <c r="B75" s="93">
        <f>+B74*0.19</f>
        <v>12201952.498287164</v>
      </c>
      <c r="C75" s="93">
        <f>+C74*0.19</f>
        <v>48929175.909499548</v>
      </c>
      <c r="D75" s="95">
        <f t="shared" si="26"/>
        <v>61131128.407786712</v>
      </c>
      <c r="F75" s="9">
        <v>0.28170000000000001</v>
      </c>
      <c r="G75" s="9"/>
    </row>
    <row r="76" spans="1:11" x14ac:dyDescent="0.25">
      <c r="A76" s="25" t="s">
        <v>45</v>
      </c>
      <c r="B76" s="91">
        <f>+B74+B75</f>
        <v>76422755.120851189</v>
      </c>
      <c r="C76" s="91">
        <f>+C74+C75</f>
        <v>306451154.38054979</v>
      </c>
      <c r="D76" s="27">
        <f t="shared" si="26"/>
        <v>382873909.50140095</v>
      </c>
      <c r="F76" s="8">
        <f>+B76*28.17%</f>
        <v>21528290.117543779</v>
      </c>
      <c r="G76" s="8"/>
      <c r="H76" s="8">
        <f>+B76-F76</f>
        <v>54894465.00330741</v>
      </c>
    </row>
    <row r="78" spans="1:11" x14ac:dyDescent="0.25">
      <c r="A78" s="81">
        <f>+B8</f>
        <v>295669954</v>
      </c>
    </row>
  </sheetData>
  <mergeCells count="26">
    <mergeCell ref="L42:N42"/>
    <mergeCell ref="A29:A30"/>
    <mergeCell ref="B29:B30"/>
    <mergeCell ref="C29:C30"/>
    <mergeCell ref="D29:D30"/>
    <mergeCell ref="E29:E30"/>
    <mergeCell ref="C38:D38"/>
    <mergeCell ref="C39:D39"/>
    <mergeCell ref="C26:D26"/>
    <mergeCell ref="C27:D27"/>
    <mergeCell ref="A1:K1"/>
    <mergeCell ref="A46:B46"/>
    <mergeCell ref="C46:C47"/>
    <mergeCell ref="D46:D47"/>
    <mergeCell ref="E46:E47"/>
    <mergeCell ref="A13:B13"/>
    <mergeCell ref="C13:C14"/>
    <mergeCell ref="D13:D14"/>
    <mergeCell ref="E13:E14"/>
    <mergeCell ref="C56:D56"/>
    <mergeCell ref="C57:D57"/>
    <mergeCell ref="A59:A60"/>
    <mergeCell ref="B59:B60"/>
    <mergeCell ref="C59:C60"/>
    <mergeCell ref="D59:D60"/>
    <mergeCell ref="E59:E60"/>
  </mergeCells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82E15-06FF-4874-AB42-02B41618689E}">
  <dimension ref="A1"/>
  <sheetViews>
    <sheetView workbookViewId="0">
      <selection activeCell="G32" sqref="G32"/>
    </sheetView>
  </sheetViews>
  <sheetFormatPr baseColWidth="10" defaultRowHeight="13.2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F6AAE-2D23-466D-BB71-7C5234B14F10}">
  <dimension ref="A1"/>
  <sheetViews>
    <sheetView workbookViewId="0">
      <selection activeCell="M13" sqref="M13"/>
    </sheetView>
  </sheetViews>
  <sheetFormatPr baseColWidth="10" defaultRowHeight="13.2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DAC67-5791-48B0-A815-F3C823681612}">
  <dimension ref="A1"/>
  <sheetViews>
    <sheetView topLeftCell="A31" workbookViewId="0">
      <selection activeCell="H57" sqref="H56:H57"/>
    </sheetView>
  </sheetViews>
  <sheetFormatPr baseColWidth="10" defaultRowHeight="13.2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5733E-7184-477C-8714-36F0B51CBE35}">
  <dimension ref="B34:B35"/>
  <sheetViews>
    <sheetView topLeftCell="A25" workbookViewId="0">
      <selection activeCell="F42" sqref="F42"/>
    </sheetView>
  </sheetViews>
  <sheetFormatPr baseColWidth="10" defaultRowHeight="13.2" x14ac:dyDescent="0.25"/>
  <sheetData>
    <row r="34" spans="2:2" x14ac:dyDescent="0.25">
      <c r="B34" s="10" t="s">
        <v>53</v>
      </c>
    </row>
    <row r="35" spans="2:2" x14ac:dyDescent="0.25">
      <c r="B35" s="18" t="s">
        <v>52</v>
      </c>
    </row>
  </sheetData>
  <hyperlinks>
    <hyperlink ref="B35" r:id="rId1" xr:uid="{0393FBAC-8311-405D-BABB-545A4F58BE4C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PRESUPUESTO </vt:lpstr>
      <vt:lpstr>IPC 2021  </vt:lpstr>
      <vt:lpstr>IPC 2022</vt:lpstr>
      <vt:lpstr>IPC 2023 NOV</vt:lpstr>
      <vt:lpstr>GARANTÍAS - SECOP 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No. 4 Presupuesto Interventoría obras fase II Cimitarra.xlsx</dc:title>
  <dc:creator>acer</dc:creator>
  <cp:lastModifiedBy>Claudia Simena Marin Restrepo</cp:lastModifiedBy>
  <dcterms:created xsi:type="dcterms:W3CDTF">2023-12-05T13:53:46Z</dcterms:created>
  <dcterms:modified xsi:type="dcterms:W3CDTF">2023-12-20T19:41:13Z</dcterms:modified>
</cp:coreProperties>
</file>