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. INVERSEGUROS GERENCIA\7- PROYECTOS COMERCIALES\24. BANCO BBVA\COTIZACIONES PRESENTADAS\SUPREN &amp; ANTAUEN\"/>
    </mc:Choice>
  </mc:AlternateContent>
  <xr:revisionPtr revIDLastSave="0" documentId="8_{F2D180FA-280E-432A-AD12-C97EC8D3306D}" xr6:coauthVersionLast="45" xr6:coauthVersionMax="45" xr10:uidLastSave="{00000000-0000-0000-0000-000000000000}"/>
  <bookViews>
    <workbookView xWindow="-110" yWindow="-110" windowWidth="19420" windowHeight="10300" activeTab="2" xr2:uid="{00000000-000D-0000-FFFF-FFFF00000000}"/>
  </bookViews>
  <sheets>
    <sheet name="Edificio + Contenidos" sheetId="7" r:id="rId1"/>
    <sheet name="Solo Edificio" sheetId="8" r:id="rId2"/>
    <sheet name="Solo Contenidos" sheetId="6" r:id="rId3"/>
    <sheet name="Hoja2" sheetId="2" r:id="rId4"/>
    <sheet name="Hoja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6" l="1"/>
  <c r="C15" i="6"/>
  <c r="C14" i="6"/>
  <c r="C11" i="6"/>
  <c r="C8" i="6"/>
  <c r="C17" i="7" l="1"/>
  <c r="F48" i="7" l="1"/>
  <c r="G40" i="7"/>
  <c r="G48" i="7" s="1"/>
  <c r="C15" i="7"/>
  <c r="B8" i="7"/>
  <c r="B8" i="6" l="1"/>
  <c r="H25" i="8" l="1"/>
  <c r="G25" i="8"/>
  <c r="H24" i="8"/>
  <c r="G24" i="8"/>
  <c r="D33" i="8"/>
  <c r="D13" i="8"/>
  <c r="D25" i="8" s="1"/>
  <c r="C67" i="7"/>
  <c r="C68" i="7"/>
  <c r="C69" i="7"/>
  <c r="C70" i="7"/>
  <c r="C71" i="7"/>
  <c r="C72" i="7"/>
  <c r="C66" i="7"/>
  <c r="C60" i="7"/>
  <c r="C59" i="7"/>
  <c r="C46" i="7"/>
  <c r="C45" i="7"/>
  <c r="C32" i="7"/>
  <c r="C31" i="7"/>
  <c r="C19" i="6"/>
  <c r="F22" i="6"/>
  <c r="F21" i="6"/>
  <c r="G46" i="7"/>
  <c r="G22" i="6"/>
  <c r="G21" i="6"/>
  <c r="C27" i="6"/>
  <c r="G37" i="7"/>
  <c r="G47" i="7"/>
  <c r="F47" i="7"/>
  <c r="C18" i="7"/>
  <c r="F46" i="7"/>
  <c r="C62" i="7" l="1"/>
  <c r="B32" i="8"/>
  <c r="D26" i="8"/>
  <c r="C48" i="7"/>
  <c r="C73" i="7"/>
  <c r="F36" i="7" s="1"/>
  <c r="C74" i="7"/>
  <c r="F37" i="7" s="1"/>
  <c r="C34" i="7"/>
  <c r="B26" i="6"/>
  <c r="C20" i="7"/>
  <c r="D28" i="8" l="1"/>
  <c r="G23" i="8" s="1"/>
  <c r="B33" i="8"/>
  <c r="H23" i="8" s="1"/>
  <c r="C76" i="7"/>
  <c r="F45" i="7"/>
  <c r="G45" i="7"/>
  <c r="G49" i="7" s="1"/>
  <c r="G50" i="7" s="1"/>
  <c r="G51" i="7" s="1"/>
  <c r="C20" i="6"/>
  <c r="B27" i="6" s="1"/>
  <c r="G20" i="6" s="1"/>
  <c r="F20" i="6"/>
  <c r="C22" i="6" l="1"/>
  <c r="G23" i="6"/>
  <c r="G24" i="6" l="1"/>
  <c r="G25" i="6" s="1"/>
  <c r="H26" i="8" l="1"/>
  <c r="H27" i="8" s="1"/>
  <c r="H28" i="8" s="1"/>
</calcChain>
</file>

<file path=xl/sharedStrings.xml><?xml version="1.0" encoding="utf-8"?>
<sst xmlns="http://schemas.openxmlformats.org/spreadsheetml/2006/main" count="290" uniqueCount="147">
  <si>
    <t>Descripción</t>
  </si>
  <si>
    <t>Valor Asegurable Total</t>
  </si>
  <si>
    <t>TRDM</t>
  </si>
  <si>
    <t>R.C.E. SIN PRODUCTOS</t>
  </si>
  <si>
    <t>Edificio</t>
  </si>
  <si>
    <t>Riesgo 1</t>
  </si>
  <si>
    <t>Riesgo 2</t>
  </si>
  <si>
    <t>Riesgo 3</t>
  </si>
  <si>
    <t>Riesgo 4</t>
  </si>
  <si>
    <t>IVA 19%</t>
  </si>
  <si>
    <t>COBERTURAS</t>
  </si>
  <si>
    <t>VALOR ASEGURABLE</t>
  </si>
  <si>
    <t>PRIMAS</t>
  </si>
  <si>
    <t>CONDICIONES ECONÓMICAS BBVA SEGUROS</t>
  </si>
  <si>
    <t>PRIMA ANUAL</t>
  </si>
  <si>
    <t>PRIMA TOTAL</t>
  </si>
  <si>
    <t>Todo Riesgo Daño Material</t>
  </si>
  <si>
    <t>Responsabilidad Civil Extracontractual</t>
  </si>
  <si>
    <t xml:space="preserve">DIRECCION RIESGO: </t>
  </si>
  <si>
    <t>Muebles y Enseres</t>
  </si>
  <si>
    <t>Mercancias en existencia</t>
  </si>
  <si>
    <t>Equipos Eléctricos y Electrónicos</t>
  </si>
  <si>
    <t>Equipos Móviles y Portátiles</t>
  </si>
  <si>
    <t>Maquinaria</t>
  </si>
  <si>
    <t>Subtotal Valor Asegurable</t>
  </si>
  <si>
    <t>Indice Variable 5%</t>
  </si>
  <si>
    <t>Lucro Cesante Daño Material y Rotura</t>
  </si>
  <si>
    <t>Dineros dentro y/o fuera de caja fuerte</t>
  </si>
  <si>
    <t>TRANSPORTE DE VALORES</t>
  </si>
  <si>
    <t>Manejo</t>
  </si>
  <si>
    <t>Manejo Global Comercial</t>
  </si>
  <si>
    <t>NOMBRE</t>
  </si>
  <si>
    <t>DESCRIPCIÓN DE LOS RIESGOS</t>
  </si>
  <si>
    <t>LÍMITES DE COBERTURA</t>
  </si>
  <si>
    <t>CONDICIONES CÁLCULO DE PRIMA POR COBERTURA</t>
  </si>
  <si>
    <t>COBERTURA</t>
  </si>
  <si>
    <t>VALOR ASEGURADO</t>
  </si>
  <si>
    <t>TASA ESTIMADA</t>
  </si>
  <si>
    <t>ÍNDICE VARIABLE 5%</t>
  </si>
  <si>
    <t>MANEJO GLOBAL CCCIAL</t>
  </si>
  <si>
    <t>Mejoras locativas</t>
  </si>
  <si>
    <t>DATOS DE CONTACTO</t>
  </si>
  <si>
    <t>Nombre</t>
  </si>
  <si>
    <t>Correo Electrónico</t>
  </si>
  <si>
    <t>Celular</t>
  </si>
  <si>
    <t xml:space="preserve">DIRECCION CORRESPONDENCIA: </t>
  </si>
  <si>
    <t>RIESGO # 1</t>
  </si>
  <si>
    <t>Valor Asegurable Total Riesgo 1</t>
  </si>
  <si>
    <t>RIESGO # 2</t>
  </si>
  <si>
    <t>Valor Asegurable Total Riesgo 2</t>
  </si>
  <si>
    <t>Edificio - Valor Reconstrucción</t>
  </si>
  <si>
    <t>CUADRO RESUMEN DE VALORES ASEGURABLES</t>
  </si>
  <si>
    <t>CALI (V)</t>
  </si>
  <si>
    <t>BOGOTÁ (C)</t>
  </si>
  <si>
    <t>CALLE 33B # 17 - 219</t>
  </si>
  <si>
    <t>RIESGO # 3</t>
  </si>
  <si>
    <t>Valor Asegurable Total Riesgo 3</t>
  </si>
  <si>
    <t>CARRERA 53 # 70 - 25</t>
  </si>
  <si>
    <t>RIESGO # 4</t>
  </si>
  <si>
    <t>Valor Asegurable Total Riesgo 4</t>
  </si>
  <si>
    <t xml:space="preserve">DIRECCION TOMADOR: </t>
  </si>
  <si>
    <t>TOMADOR</t>
  </si>
  <si>
    <t>Riesgo 5</t>
  </si>
  <si>
    <t>Riesgo 6</t>
  </si>
  <si>
    <t>Riesgo 7</t>
  </si>
  <si>
    <t>Riesgo 8</t>
  </si>
  <si>
    <t>Riesgo 9</t>
  </si>
  <si>
    <t>Riesgo 10</t>
  </si>
  <si>
    <t>Riesgo 11</t>
  </si>
  <si>
    <t>Riesgo 12</t>
  </si>
  <si>
    <t>Riesgo 13</t>
  </si>
  <si>
    <t>Riesgo 14</t>
  </si>
  <si>
    <t>Riesgo 15</t>
  </si>
  <si>
    <t>CI MAQUILAS DEL PACÍFICO S.A.S.</t>
  </si>
  <si>
    <t>900.088.695-1</t>
  </si>
  <si>
    <t>Calle 3 sur No. 7 A 42 Pueblo Nuevo Muro Yusti</t>
  </si>
  <si>
    <t>BUENAVENTURA (V)</t>
  </si>
  <si>
    <t xml:space="preserve">APARTAMENTO CALI </t>
  </si>
  <si>
    <t xml:space="preserve">APARTAESTUDIO FONTIBON BOGOTA </t>
  </si>
  <si>
    <t xml:space="preserve">BODEGA BOGOTA </t>
  </si>
  <si>
    <t>PUERTO VERDE - C 8 2B 22 26 - BUENAVENTURA (HIPOTECA BBVA)</t>
  </si>
  <si>
    <t>HOTEL PARQUE DE LA 93  - BOGOTÁ (37,5%)</t>
  </si>
  <si>
    <t>FINCA LAGO CALIMA (CALIMA - DARIEN)</t>
  </si>
  <si>
    <t>CASA - CL 15 121 25 19 C (HIPOTECA BBVA) - CALI</t>
  </si>
  <si>
    <t>HOTEL PARQUE DE LA 93 - BOGOTÁ (25%)</t>
  </si>
  <si>
    <t>HOTEL PARQUE DE LA 93 - BOGOTÁ (37,5%)</t>
  </si>
  <si>
    <t>ANTIGUO DAVIVIENDA - K 3 2 00 11 17 19 23 CENTRO  (HIPOTECA DAVIVIENDA) - BUENAVENTURA (60%)</t>
  </si>
  <si>
    <t>EDIFICIO 2 PISOS ANTIGUO BANCOLOMBIA - C 28 # 54 -58 - BUENAVENTURA - 100%</t>
  </si>
  <si>
    <t>CUARTO FRIO - K 7C # 2S -13 - BUENAVENTURA</t>
  </si>
  <si>
    <t>PESQUERA  2 - C 3 SUR 7 A 34 - BUENAVENTURA</t>
  </si>
  <si>
    <t>PESQUERA CI - C 3 SUR 7 B 12 - BUENAVENTURA</t>
  </si>
  <si>
    <t>Riesgo 16</t>
  </si>
  <si>
    <t>Total Valor Asegurable</t>
  </si>
  <si>
    <t xml:space="preserve">LOTE BOGOTA </t>
  </si>
  <si>
    <t>APARTAMENTO COSMOS - BUENAVENTURA</t>
  </si>
  <si>
    <t>Propietario</t>
  </si>
  <si>
    <t>INVEST MULUMA S.A.S.</t>
  </si>
  <si>
    <t>CI COMERCIALIZADORA</t>
  </si>
  <si>
    <t>CI PROCESADORA</t>
  </si>
  <si>
    <t>PORTAFOLIO JM2 S.A.S.</t>
  </si>
  <si>
    <t>JESUS MARIA MUÑOZ</t>
  </si>
  <si>
    <t>Transporte de Valores</t>
  </si>
  <si>
    <t>Ppto Anual</t>
  </si>
  <si>
    <t>Demérito por Año</t>
  </si>
  <si>
    <t>Demérito Acumulado</t>
  </si>
  <si>
    <t>0 - 5</t>
  </si>
  <si>
    <t>5 - 6</t>
  </si>
  <si>
    <t>6 - 7</t>
  </si>
  <si>
    <t>7 - 8</t>
  </si>
  <si>
    <t>8 - 9</t>
  </si>
  <si>
    <t>9 - 10</t>
  </si>
  <si>
    <t>10 en Adelante</t>
  </si>
  <si>
    <t>Edad ( Años)</t>
  </si>
  <si>
    <t>Maquinaria y Equipo</t>
  </si>
  <si>
    <t>0 - 8</t>
  </si>
  <si>
    <t>8 - 15</t>
  </si>
  <si>
    <t>16 - 20</t>
  </si>
  <si>
    <t>Equipos Médicos, de Diagnóstico, de Laboraatorio y similares</t>
  </si>
  <si>
    <t>0 - 3</t>
  </si>
  <si>
    <t>3 - 4</t>
  </si>
  <si>
    <t>4 - 5</t>
  </si>
  <si>
    <t>9 en adelante</t>
  </si>
  <si>
    <t>20 en adelante</t>
  </si>
  <si>
    <t>Máximo 50%</t>
  </si>
  <si>
    <t>Equipo de cómputo, accesorios, equipos periféricos y                        equipo de oficina</t>
  </si>
  <si>
    <t>TABLAS DE DEMÉRITO</t>
  </si>
  <si>
    <t>Transporte de Valores - LMD</t>
  </si>
  <si>
    <t>Transporte de Valores - PAM</t>
  </si>
  <si>
    <t>R.C.E SIN PRODUCTOS</t>
  </si>
  <si>
    <t>Directores y Administradores</t>
  </si>
  <si>
    <t>DIRECTORES Y ADMINISTRADORES</t>
  </si>
  <si>
    <t>TRANSPORTES DEL VALLE Y TURISMO SAS - TRANSVALTUR</t>
  </si>
  <si>
    <t>805025025-2</t>
  </si>
  <si>
    <t>CARRERA 5N # 39 - 74 BARRIO BOLIVARIANO</t>
  </si>
  <si>
    <t>Edificio - (Terreno, Edificación, Construcción)</t>
  </si>
  <si>
    <t>Equipos Eléctricos y Electrónicos, de Comunicación, Tecnología e Informática</t>
  </si>
  <si>
    <t>Herramientas, repuestos automotores, etc</t>
  </si>
  <si>
    <t>Dinero en Efectivo</t>
  </si>
  <si>
    <t>Transporte de Mercancías</t>
  </si>
  <si>
    <t>LMD</t>
  </si>
  <si>
    <t>SUPREN &amp; ANTAUEN SAS</t>
  </si>
  <si>
    <t>901.122.799-8</t>
  </si>
  <si>
    <t>BARRANQUILLA (A)</t>
  </si>
  <si>
    <t>Equipos de Topografia y Fotogrametría - Móviles y Portátiles</t>
  </si>
  <si>
    <t>Drones - Móviles y Portátiles</t>
  </si>
  <si>
    <t>Equipos de Monitoreo Estructural - Móviles y Portátiles</t>
  </si>
  <si>
    <t>CARRERA 56 # 82 - 146 PISO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</si>
</sst>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\ #,##0_);[Red]\(&quot;$&quot;\ #,##0\)"/>
    <numFmt numFmtId="165" formatCode="&quot;$&quot;\ #,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4" borderId="3" xfId="0" applyNumberForma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164" fontId="4" fillId="0" borderId="3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5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64" fontId="8" fillId="6" borderId="3" xfId="0" applyNumberFormat="1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 wrapText="1"/>
    </xf>
    <xf numFmtId="164" fontId="8" fillId="6" borderId="3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2" fillId="0" borderId="3" xfId="0" applyFont="1" applyFill="1" applyBorder="1" applyAlignment="1">
      <alignment horizontal="justify" vertical="center"/>
    </xf>
    <xf numFmtId="0" fontId="12" fillId="0" borderId="3" xfId="0" applyFont="1" applyFill="1" applyBorder="1" applyAlignment="1">
      <alignment horizontal="justify" vertical="center" wrapText="1"/>
    </xf>
    <xf numFmtId="0" fontId="12" fillId="0" borderId="3" xfId="0" applyFont="1" applyFill="1" applyBorder="1" applyAlignment="1">
      <alignment horizontal="center" vertical="center" wrapText="1"/>
    </xf>
    <xf numFmtId="165" fontId="12" fillId="0" borderId="3" xfId="1" applyNumberFormat="1" applyFont="1" applyBorder="1" applyAlignment="1">
      <alignment horizontal="center" vertical="center"/>
    </xf>
    <xf numFmtId="165" fontId="12" fillId="0" borderId="3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164" fontId="0" fillId="0" borderId="8" xfId="0" applyNumberFormat="1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9" fontId="14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9" fontId="14" fillId="0" borderId="0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9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6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0" fillId="8" borderId="7" xfId="0" applyFont="1" applyFill="1" applyBorder="1" applyAlignment="1">
      <alignment horizontal="center" vertical="center"/>
    </xf>
    <xf numFmtId="0" fontId="0" fillId="8" borderId="8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1</xdr:row>
      <xdr:rowOff>7620</xdr:rowOff>
    </xdr:from>
    <xdr:to>
      <xdr:col>1</xdr:col>
      <xdr:colOff>904875</xdr:colOff>
      <xdr:row>3</xdr:row>
      <xdr:rowOff>40005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BA631FEE-559C-4B6C-A1E0-006818C25B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" y="191770"/>
          <a:ext cx="2000885" cy="40068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119380</xdr:colOff>
      <xdr:row>2</xdr:row>
      <xdr:rowOff>60960</xdr:rowOff>
    </xdr:to>
    <xdr:pic>
      <xdr:nvPicPr>
        <xdr:cNvPr id="3" name="3 Imagen" descr="C:\Users\E050272\Pictures\Logos Seguros\logos buenos\Creando oportunidades AZUL(1).png">
          <a:extLst>
            <a:ext uri="{FF2B5EF4-FFF2-40B4-BE49-F238E27FC236}">
              <a16:creationId xmlns:a16="http://schemas.microsoft.com/office/drawing/2014/main" id="{49537E00-5485-4505-BD57-888A8350C5F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84150"/>
          <a:ext cx="1700530" cy="2451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1</xdr:row>
      <xdr:rowOff>7620</xdr:rowOff>
    </xdr:from>
    <xdr:to>
      <xdr:col>1</xdr:col>
      <xdr:colOff>904875</xdr:colOff>
      <xdr:row>3</xdr:row>
      <xdr:rowOff>40005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E12B168-1D25-41FC-9143-B31D82B17D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" y="191770"/>
          <a:ext cx="2000885" cy="40068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4</xdr:col>
      <xdr:colOff>119380</xdr:colOff>
      <xdr:row>2</xdr:row>
      <xdr:rowOff>60960</xdr:rowOff>
    </xdr:to>
    <xdr:pic>
      <xdr:nvPicPr>
        <xdr:cNvPr id="3" name="3 Imagen" descr="C:\Users\E050272\Pictures\Logos Seguros\logos buenos\Creando oportunidades AZUL(1).png">
          <a:extLst>
            <a:ext uri="{FF2B5EF4-FFF2-40B4-BE49-F238E27FC236}">
              <a16:creationId xmlns:a16="http://schemas.microsoft.com/office/drawing/2014/main" id="{DC3949A5-7A18-42F6-990B-612D72222C4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84150"/>
          <a:ext cx="1700530" cy="2451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1</xdr:row>
      <xdr:rowOff>7620</xdr:rowOff>
    </xdr:from>
    <xdr:to>
      <xdr:col>1</xdr:col>
      <xdr:colOff>904875</xdr:colOff>
      <xdr:row>3</xdr:row>
      <xdr:rowOff>40005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637CC66-9BE4-4E18-8F95-B8D28E8D6D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" y="191770"/>
          <a:ext cx="2000885" cy="400685"/>
        </a:xfrm>
        <a:prstGeom prst="rect">
          <a:avLst/>
        </a:prstGeom>
      </xdr:spPr>
    </xdr:pic>
    <xdr:clientData/>
  </xdr:twoCellAnchor>
  <xdr:twoCellAnchor editAs="oneCell">
    <xdr:from>
      <xdr:col>2</xdr:col>
      <xdr:colOff>69850</xdr:colOff>
      <xdr:row>1</xdr:row>
      <xdr:rowOff>38100</xdr:rowOff>
    </xdr:from>
    <xdr:to>
      <xdr:col>2</xdr:col>
      <xdr:colOff>1549400</xdr:colOff>
      <xdr:row>3</xdr:row>
      <xdr:rowOff>31750</xdr:rowOff>
    </xdr:to>
    <xdr:pic>
      <xdr:nvPicPr>
        <xdr:cNvPr id="3" name="3 Imagen" descr="C:\Users\E050272\Pictures\Logos Seguros\logos buenos\Creando oportunidades AZUL(1).png">
          <a:extLst>
            <a:ext uri="{FF2B5EF4-FFF2-40B4-BE49-F238E27FC236}">
              <a16:creationId xmlns:a16="http://schemas.microsoft.com/office/drawing/2014/main" id="{D68864CA-E905-4996-96A9-294EFC1B44F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222250"/>
          <a:ext cx="1479550" cy="361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9ADE5-D9AD-45F8-A45F-541A78B721E2}">
  <dimension ref="A2:G76"/>
  <sheetViews>
    <sheetView topLeftCell="A3" workbookViewId="0">
      <selection activeCell="C16" sqref="C16"/>
    </sheetView>
  </sheetViews>
  <sheetFormatPr baseColWidth="10" defaultRowHeight="14.5" x14ac:dyDescent="0.35"/>
  <cols>
    <col min="1" max="1" width="18.6328125" customWidth="1"/>
    <col min="2" max="2" width="40.6328125" customWidth="1"/>
    <col min="3" max="3" width="22.6328125" customWidth="1"/>
    <col min="4" max="4" width="6.36328125" customWidth="1"/>
    <col min="5" max="5" width="32.90625" customWidth="1"/>
    <col min="6" max="6" width="16.6328125" customWidth="1"/>
    <col min="7" max="7" width="12.08984375" bestFit="1" customWidth="1"/>
  </cols>
  <sheetData>
    <row r="2" spans="1:7" x14ac:dyDescent="0.35">
      <c r="E2" s="75" t="s">
        <v>41</v>
      </c>
      <c r="F2" s="75"/>
      <c r="G2" s="75"/>
    </row>
    <row r="3" spans="1:7" x14ac:dyDescent="0.35">
      <c r="E3" s="28" t="s">
        <v>42</v>
      </c>
      <c r="F3" s="76"/>
      <c r="G3" s="76"/>
    </row>
    <row r="4" spans="1:7" x14ac:dyDescent="0.35">
      <c r="E4" s="28" t="s">
        <v>43</v>
      </c>
      <c r="F4" s="76"/>
      <c r="G4" s="76"/>
    </row>
    <row r="5" spans="1:7" ht="26" x14ac:dyDescent="0.35">
      <c r="A5" s="15" t="s">
        <v>61</v>
      </c>
      <c r="B5" s="16" t="s">
        <v>131</v>
      </c>
      <c r="C5" s="12" t="s">
        <v>132</v>
      </c>
      <c r="E5" s="28" t="s">
        <v>44</v>
      </c>
      <c r="F5" s="76"/>
      <c r="G5" s="76"/>
    </row>
    <row r="6" spans="1:7" s="1" customFormat="1" ht="24" customHeight="1" x14ac:dyDescent="0.35">
      <c r="A6" s="15" t="s">
        <v>60</v>
      </c>
      <c r="B6" s="16" t="s">
        <v>133</v>
      </c>
      <c r="C6" s="12" t="s">
        <v>52</v>
      </c>
    </row>
    <row r="7" spans="1:7" s="1" customFormat="1" ht="15" customHeight="1" x14ac:dyDescent="0.35">
      <c r="A7" s="80" t="s">
        <v>32</v>
      </c>
      <c r="B7" s="80"/>
      <c r="C7" s="80"/>
      <c r="E7" s="83" t="s">
        <v>33</v>
      </c>
      <c r="F7" s="84"/>
    </row>
    <row r="8" spans="1:7" s="1" customFormat="1" ht="15" customHeight="1" x14ac:dyDescent="0.35">
      <c r="A8" s="26" t="s">
        <v>46</v>
      </c>
      <c r="B8" s="26" t="str">
        <f>B6</f>
        <v>CARRERA 5N # 39 - 74 BARRIO BOLIVARIANO</v>
      </c>
      <c r="C8" s="26" t="s">
        <v>52</v>
      </c>
      <c r="E8" s="85"/>
      <c r="F8" s="86"/>
    </row>
    <row r="9" spans="1:7" s="3" customFormat="1" ht="15.5" x14ac:dyDescent="0.35">
      <c r="A9" s="81" t="s">
        <v>0</v>
      </c>
      <c r="B9" s="81"/>
      <c r="C9" s="17" t="s">
        <v>1</v>
      </c>
      <c r="E9" s="82" t="s">
        <v>17</v>
      </c>
      <c r="F9" s="54">
        <v>0</v>
      </c>
    </row>
    <row r="10" spans="1:7" s="3" customFormat="1" x14ac:dyDescent="0.35">
      <c r="A10" s="79" t="s">
        <v>134</v>
      </c>
      <c r="B10" s="79"/>
      <c r="C10" s="25">
        <v>3200438000</v>
      </c>
      <c r="E10" s="82"/>
      <c r="F10" s="54">
        <v>100000000</v>
      </c>
    </row>
    <row r="11" spans="1:7" s="3" customFormat="1" x14ac:dyDescent="0.35">
      <c r="A11" s="79" t="s">
        <v>19</v>
      </c>
      <c r="B11" s="79"/>
      <c r="C11" s="25">
        <v>600000000</v>
      </c>
      <c r="E11" s="82"/>
      <c r="F11" s="54">
        <v>200000000</v>
      </c>
    </row>
    <row r="12" spans="1:7" s="3" customFormat="1" ht="14.5" customHeight="1" x14ac:dyDescent="0.35">
      <c r="A12" s="79" t="s">
        <v>136</v>
      </c>
      <c r="B12" s="79"/>
      <c r="C12" s="25">
        <v>94048727</v>
      </c>
      <c r="E12" s="82"/>
      <c r="F12" s="54">
        <v>500000000</v>
      </c>
    </row>
    <row r="13" spans="1:7" s="3" customFormat="1" x14ac:dyDescent="0.35">
      <c r="A13" s="79" t="s">
        <v>135</v>
      </c>
      <c r="B13" s="79"/>
      <c r="C13" s="25">
        <v>195000000</v>
      </c>
      <c r="E13" s="82"/>
      <c r="F13" s="54">
        <v>1000000000</v>
      </c>
    </row>
    <row r="14" spans="1:7" s="3" customFormat="1" x14ac:dyDescent="0.35">
      <c r="A14" s="79" t="s">
        <v>22</v>
      </c>
      <c r="B14" s="79"/>
      <c r="C14" s="25">
        <v>0</v>
      </c>
      <c r="E14" s="82"/>
      <c r="F14" s="54">
        <v>1500000000</v>
      </c>
    </row>
    <row r="15" spans="1:7" s="3" customFormat="1" x14ac:dyDescent="0.35">
      <c r="A15" s="79" t="s">
        <v>23</v>
      </c>
      <c r="B15" s="79"/>
      <c r="C15" s="25">
        <f>694426981*1.05</f>
        <v>729148330.05000007</v>
      </c>
      <c r="E15" s="82"/>
      <c r="F15" s="54">
        <v>2000000000</v>
      </c>
    </row>
    <row r="16" spans="1:7" s="3" customFormat="1" x14ac:dyDescent="0.35">
      <c r="A16" s="79" t="s">
        <v>137</v>
      </c>
      <c r="B16" s="79"/>
      <c r="C16" s="25">
        <v>0</v>
      </c>
      <c r="E16" s="82"/>
      <c r="F16" s="54">
        <v>2500000000</v>
      </c>
    </row>
    <row r="17" spans="1:7" s="3" customFormat="1" ht="15.5" customHeight="1" x14ac:dyDescent="0.35">
      <c r="A17" s="77" t="s">
        <v>24</v>
      </c>
      <c r="B17" s="78"/>
      <c r="C17" s="19">
        <f>SUM(C10:C16)</f>
        <v>4818635057.0500002</v>
      </c>
      <c r="E17" s="82"/>
      <c r="F17" s="54">
        <v>3000000000</v>
      </c>
    </row>
    <row r="18" spans="1:7" s="1" customFormat="1" x14ac:dyDescent="0.35">
      <c r="A18" s="79" t="s">
        <v>25</v>
      </c>
      <c r="B18" s="79"/>
      <c r="C18" s="25">
        <f>+(C10+C11+C15)*5%</f>
        <v>226479316.50250003</v>
      </c>
      <c r="E18" s="82"/>
      <c r="F18" s="54">
        <v>4000000000</v>
      </c>
    </row>
    <row r="19" spans="1:7" s="1" customFormat="1" x14ac:dyDescent="0.35">
      <c r="A19" s="79" t="s">
        <v>26</v>
      </c>
      <c r="B19" s="79"/>
      <c r="C19" s="25">
        <v>0</v>
      </c>
      <c r="E19" s="82"/>
      <c r="F19" s="54">
        <v>5000000000</v>
      </c>
      <c r="G19" s="3"/>
    </row>
    <row r="20" spans="1:7" s="1" customFormat="1" ht="14.5" customHeight="1" x14ac:dyDescent="0.35">
      <c r="A20" s="87" t="s">
        <v>47</v>
      </c>
      <c r="B20" s="87"/>
      <c r="C20" s="19">
        <f>+C17+C18+C19</f>
        <v>5045114373.5524998</v>
      </c>
    </row>
    <row r="21" spans="1:7" s="1" customFormat="1" x14ac:dyDescent="0.35">
      <c r="A21" s="88"/>
      <c r="B21" s="88"/>
      <c r="C21" s="88"/>
    </row>
    <row r="22" spans="1:7" s="1" customFormat="1" x14ac:dyDescent="0.35">
      <c r="A22" s="26" t="s">
        <v>48</v>
      </c>
      <c r="B22" s="26" t="s">
        <v>54</v>
      </c>
      <c r="C22" s="26" t="s">
        <v>52</v>
      </c>
      <c r="E22" s="93" t="s">
        <v>129</v>
      </c>
      <c r="F22" s="6">
        <v>0</v>
      </c>
      <c r="G22" s="3"/>
    </row>
    <row r="23" spans="1:7" s="1" customFormat="1" ht="15.5" x14ac:dyDescent="0.35">
      <c r="A23" s="81" t="s">
        <v>0</v>
      </c>
      <c r="B23" s="81"/>
      <c r="C23" s="27" t="s">
        <v>1</v>
      </c>
      <c r="E23" s="94"/>
      <c r="F23" s="6">
        <v>100000000</v>
      </c>
      <c r="G23" s="4"/>
    </row>
    <row r="24" spans="1:7" s="1" customFormat="1" x14ac:dyDescent="0.35">
      <c r="A24" s="79" t="s">
        <v>50</v>
      </c>
      <c r="B24" s="79"/>
      <c r="C24" s="25"/>
      <c r="E24" s="94"/>
      <c r="F24" s="6">
        <v>200000000</v>
      </c>
    </row>
    <row r="25" spans="1:7" s="1" customFormat="1" x14ac:dyDescent="0.35">
      <c r="A25" s="79" t="s">
        <v>19</v>
      </c>
      <c r="B25" s="79"/>
      <c r="C25" s="25"/>
      <c r="E25" s="95"/>
      <c r="F25" s="6">
        <v>500000000</v>
      </c>
    </row>
    <row r="26" spans="1:7" s="1" customFormat="1" x14ac:dyDescent="0.35">
      <c r="A26" s="79" t="s">
        <v>20</v>
      </c>
      <c r="B26" s="79"/>
      <c r="C26" s="25"/>
    </row>
    <row r="27" spans="1:7" s="1" customFormat="1" x14ac:dyDescent="0.35">
      <c r="A27" s="79" t="s">
        <v>21</v>
      </c>
      <c r="B27" s="79"/>
      <c r="C27" s="25"/>
      <c r="E27" s="96" t="s">
        <v>29</v>
      </c>
      <c r="F27" s="6">
        <v>0</v>
      </c>
    </row>
    <row r="28" spans="1:7" s="1" customFormat="1" x14ac:dyDescent="0.35">
      <c r="A28" s="79" t="s">
        <v>22</v>
      </c>
      <c r="B28" s="79"/>
      <c r="C28" s="25">
        <v>0</v>
      </c>
      <c r="E28" s="97"/>
      <c r="F28" s="6">
        <v>5000000</v>
      </c>
    </row>
    <row r="29" spans="1:7" s="1" customFormat="1" x14ac:dyDescent="0.35">
      <c r="A29" s="79" t="s">
        <v>23</v>
      </c>
      <c r="B29" s="79"/>
      <c r="C29" s="25">
        <v>0</v>
      </c>
      <c r="E29" s="97"/>
      <c r="F29" s="6">
        <v>10000000</v>
      </c>
    </row>
    <row r="30" spans="1:7" s="1" customFormat="1" x14ac:dyDescent="0.35">
      <c r="A30" s="79" t="s">
        <v>27</v>
      </c>
      <c r="B30" s="79"/>
      <c r="C30" s="25">
        <v>0</v>
      </c>
      <c r="E30" s="97"/>
      <c r="F30" s="6">
        <v>20000000</v>
      </c>
    </row>
    <row r="31" spans="1:7" s="1" customFormat="1" x14ac:dyDescent="0.35">
      <c r="A31" s="77" t="s">
        <v>24</v>
      </c>
      <c r="B31" s="78"/>
      <c r="C31" s="19">
        <f>SUM(C24:C30)</f>
        <v>0</v>
      </c>
      <c r="E31" s="97"/>
      <c r="F31" s="6">
        <v>50000000</v>
      </c>
    </row>
    <row r="32" spans="1:7" s="1" customFormat="1" x14ac:dyDescent="0.35">
      <c r="A32" s="79" t="s">
        <v>25</v>
      </c>
      <c r="B32" s="79"/>
      <c r="C32" s="25">
        <f>+(C24+C25+C29)*5%</f>
        <v>0</v>
      </c>
      <c r="E32" s="98"/>
      <c r="F32" s="6">
        <v>100000000</v>
      </c>
    </row>
    <row r="33" spans="1:7" s="1" customFormat="1" x14ac:dyDescent="0.35">
      <c r="A33" s="79" t="s">
        <v>26</v>
      </c>
      <c r="B33" s="79"/>
      <c r="C33" s="25">
        <v>0</v>
      </c>
    </row>
    <row r="34" spans="1:7" s="1" customFormat="1" x14ac:dyDescent="0.35">
      <c r="A34" s="87" t="s">
        <v>49</v>
      </c>
      <c r="B34" s="87"/>
      <c r="C34" s="19">
        <f>+C31+C32+C33</f>
        <v>0</v>
      </c>
      <c r="E34" s="99" t="s">
        <v>34</v>
      </c>
      <c r="F34" s="100"/>
      <c r="G34" s="101"/>
    </row>
    <row r="35" spans="1:7" s="1" customFormat="1" ht="14.5" customHeight="1" x14ac:dyDescent="0.35">
      <c r="A35" s="108"/>
      <c r="B35" s="108"/>
      <c r="C35" s="108"/>
      <c r="E35" s="69" t="s">
        <v>35</v>
      </c>
      <c r="F35" s="69" t="s">
        <v>36</v>
      </c>
      <c r="G35" s="69" t="s">
        <v>37</v>
      </c>
    </row>
    <row r="36" spans="1:7" s="1" customFormat="1" x14ac:dyDescent="0.35">
      <c r="A36" s="31" t="s">
        <v>55</v>
      </c>
      <c r="B36" s="31" t="s">
        <v>57</v>
      </c>
      <c r="C36" s="31" t="s">
        <v>53</v>
      </c>
      <c r="E36" s="22" t="s">
        <v>2</v>
      </c>
      <c r="F36" s="23" t="e">
        <f>C73</f>
        <v>#REF!</v>
      </c>
      <c r="G36" s="24">
        <v>1.3</v>
      </c>
    </row>
    <row r="37" spans="1:7" s="1" customFormat="1" ht="15.5" customHeight="1" x14ac:dyDescent="0.35">
      <c r="A37" s="81" t="s">
        <v>0</v>
      </c>
      <c r="B37" s="81"/>
      <c r="C37" s="32" t="s">
        <v>1</v>
      </c>
      <c r="E37" s="22" t="s">
        <v>38</v>
      </c>
      <c r="F37" s="23">
        <f>C74</f>
        <v>226479316.50250003</v>
      </c>
      <c r="G37" s="24">
        <f>+G36*50%</f>
        <v>0.65</v>
      </c>
    </row>
    <row r="38" spans="1:7" s="1" customFormat="1" ht="14.5" customHeight="1" x14ac:dyDescent="0.35">
      <c r="A38" s="79" t="s">
        <v>50</v>
      </c>
      <c r="B38" s="79"/>
      <c r="C38" s="25"/>
      <c r="E38" s="21" t="s">
        <v>128</v>
      </c>
      <c r="F38" s="23">
        <v>4000000000</v>
      </c>
      <c r="G38" s="24">
        <v>4.5</v>
      </c>
    </row>
    <row r="39" spans="1:7" s="1" customFormat="1" x14ac:dyDescent="0.35">
      <c r="A39" s="79" t="s">
        <v>19</v>
      </c>
      <c r="B39" s="79"/>
      <c r="C39" s="25"/>
      <c r="E39" s="22" t="s">
        <v>39</v>
      </c>
      <c r="F39" s="23">
        <v>0</v>
      </c>
      <c r="G39" s="24">
        <v>2</v>
      </c>
    </row>
    <row r="40" spans="1:7" s="1" customFormat="1" ht="14.5" customHeight="1" x14ac:dyDescent="0.35">
      <c r="A40" s="79" t="s">
        <v>20</v>
      </c>
      <c r="B40" s="79"/>
      <c r="C40" s="25">
        <v>0</v>
      </c>
      <c r="E40" s="22" t="s">
        <v>130</v>
      </c>
      <c r="F40" s="23">
        <v>0</v>
      </c>
      <c r="G40" s="24">
        <f>G38</f>
        <v>4.5</v>
      </c>
    </row>
    <row r="41" spans="1:7" s="1" customFormat="1" ht="14.5" customHeight="1" x14ac:dyDescent="0.35">
      <c r="A41" s="79" t="s">
        <v>21</v>
      </c>
      <c r="B41" s="79"/>
      <c r="C41" s="25"/>
      <c r="E41" s="22" t="s">
        <v>28</v>
      </c>
      <c r="F41" s="23"/>
      <c r="G41" s="24">
        <v>0.08</v>
      </c>
    </row>
    <row r="42" spans="1:7" s="1" customFormat="1" ht="14.5" customHeight="1" x14ac:dyDescent="0.35">
      <c r="A42" s="79" t="s">
        <v>22</v>
      </c>
      <c r="B42" s="79"/>
      <c r="C42" s="25">
        <v>0</v>
      </c>
    </row>
    <row r="43" spans="1:7" s="1" customFormat="1" ht="14.5" customHeight="1" x14ac:dyDescent="0.35">
      <c r="A43" s="79" t="s">
        <v>23</v>
      </c>
      <c r="B43" s="79"/>
      <c r="C43" s="25">
        <v>0</v>
      </c>
      <c r="E43" s="102" t="s">
        <v>13</v>
      </c>
      <c r="F43" s="103"/>
      <c r="G43" s="104"/>
    </row>
    <row r="44" spans="1:7" s="1" customFormat="1" ht="14.5" customHeight="1" x14ac:dyDescent="0.35">
      <c r="A44" s="79" t="s">
        <v>27</v>
      </c>
      <c r="B44" s="79"/>
      <c r="C44" s="25">
        <v>0</v>
      </c>
      <c r="E44" s="34" t="s">
        <v>10</v>
      </c>
      <c r="F44" s="35" t="s">
        <v>11</v>
      </c>
      <c r="G44" s="35" t="s">
        <v>12</v>
      </c>
    </row>
    <row r="45" spans="1:7" s="1" customFormat="1" ht="14.5" customHeight="1" x14ac:dyDescent="0.35">
      <c r="A45" s="77" t="s">
        <v>24</v>
      </c>
      <c r="B45" s="78"/>
      <c r="C45" s="19">
        <f>SUM(C38:C44)</f>
        <v>0</v>
      </c>
      <c r="E45" s="29" t="s">
        <v>16</v>
      </c>
      <c r="F45" s="52" t="e">
        <f>+F36+F37</f>
        <v>#REF!</v>
      </c>
      <c r="G45" s="52" t="e">
        <f>IF(((C73*G36/1000)+(C74*G37/1000))&lt;(908526*100%),(908526*100%),((C73*G36/1000)+(C74*G37/1000)))</f>
        <v>#REF!</v>
      </c>
    </row>
    <row r="46" spans="1:7" s="1" customFormat="1" ht="14.5" customHeight="1" x14ac:dyDescent="0.35">
      <c r="A46" s="79" t="s">
        <v>25</v>
      </c>
      <c r="B46" s="79"/>
      <c r="C46" s="25">
        <f>+(C38+C39+C43)*5%</f>
        <v>0</v>
      </c>
      <c r="E46" s="29" t="s">
        <v>17</v>
      </c>
      <c r="F46" s="52">
        <f>F38</f>
        <v>4000000000</v>
      </c>
      <c r="G46" s="52">
        <f>+(F38*G38)/1000</f>
        <v>18000000</v>
      </c>
    </row>
    <row r="47" spans="1:7" s="1" customFormat="1" x14ac:dyDescent="0.35">
      <c r="A47" s="79" t="s">
        <v>26</v>
      </c>
      <c r="B47" s="79"/>
      <c r="C47" s="25">
        <v>0</v>
      </c>
      <c r="E47" s="29" t="s">
        <v>30</v>
      </c>
      <c r="F47" s="52">
        <f>F39</f>
        <v>0</v>
      </c>
      <c r="G47" s="52">
        <f>+F39*G39%</f>
        <v>0</v>
      </c>
    </row>
    <row r="48" spans="1:7" s="1" customFormat="1" ht="14.5" customHeight="1" x14ac:dyDescent="0.35">
      <c r="A48" s="87" t="s">
        <v>56</v>
      </c>
      <c r="B48" s="87"/>
      <c r="C48" s="19">
        <f>+C45+C46+C47</f>
        <v>0</v>
      </c>
      <c r="E48" s="29" t="s">
        <v>129</v>
      </c>
      <c r="F48" s="52">
        <f>F40</f>
        <v>0</v>
      </c>
      <c r="G48" s="52">
        <f>+F40*G40%</f>
        <v>0</v>
      </c>
    </row>
    <row r="49" spans="1:7" s="1" customFormat="1" ht="14.5" customHeight="1" x14ac:dyDescent="0.35">
      <c r="E49" s="70" t="s">
        <v>14</v>
      </c>
      <c r="F49" s="71"/>
      <c r="G49" s="37" t="e">
        <f>+G45+G46+G47+G54</f>
        <v>#REF!</v>
      </c>
    </row>
    <row r="50" spans="1:7" s="1" customFormat="1" ht="14.5" customHeight="1" x14ac:dyDescent="0.35">
      <c r="A50" s="31" t="s">
        <v>58</v>
      </c>
      <c r="B50" s="31" t="s">
        <v>57</v>
      </c>
      <c r="C50" s="31" t="s">
        <v>53</v>
      </c>
      <c r="E50" s="72" t="s">
        <v>9</v>
      </c>
      <c r="F50" s="73"/>
      <c r="G50" s="30" t="e">
        <f>G49*19%</f>
        <v>#REF!</v>
      </c>
    </row>
    <row r="51" spans="1:7" s="1" customFormat="1" ht="14.5" customHeight="1" x14ac:dyDescent="0.35">
      <c r="A51" s="81" t="s">
        <v>0</v>
      </c>
      <c r="B51" s="81"/>
      <c r="C51" s="32" t="s">
        <v>1</v>
      </c>
      <c r="E51" s="67" t="s">
        <v>15</v>
      </c>
      <c r="F51" s="68"/>
      <c r="G51" s="36" t="e">
        <f>SUM(G49:G50)</f>
        <v>#REF!</v>
      </c>
    </row>
    <row r="52" spans="1:7" s="1" customFormat="1" ht="14.5" customHeight="1" x14ac:dyDescent="0.35">
      <c r="A52" s="79" t="s">
        <v>50</v>
      </c>
      <c r="B52" s="79"/>
      <c r="C52" s="25">
        <v>0</v>
      </c>
    </row>
    <row r="53" spans="1:7" s="1" customFormat="1" ht="14.5" customHeight="1" x14ac:dyDescent="0.35">
      <c r="A53" s="79" t="s">
        <v>19</v>
      </c>
      <c r="B53" s="79"/>
      <c r="C53" s="25">
        <v>0</v>
      </c>
      <c r="E53" s="105" t="s">
        <v>101</v>
      </c>
      <c r="F53" s="106"/>
      <c r="G53" s="107"/>
    </row>
    <row r="54" spans="1:7" s="1" customFormat="1" ht="14.5" customHeight="1" x14ac:dyDescent="0.35">
      <c r="A54" s="79" t="s">
        <v>20</v>
      </c>
      <c r="B54" s="79"/>
      <c r="C54" s="25">
        <v>0</v>
      </c>
      <c r="E54" s="51" t="s">
        <v>126</v>
      </c>
      <c r="F54" s="52"/>
      <c r="G54" s="52"/>
    </row>
    <row r="55" spans="1:7" s="1" customFormat="1" ht="14.5" customHeight="1" x14ac:dyDescent="0.35">
      <c r="A55" s="79" t="s">
        <v>21</v>
      </c>
      <c r="B55" s="79"/>
      <c r="C55" s="25"/>
      <c r="E55" s="51" t="s">
        <v>127</v>
      </c>
      <c r="F55" s="52"/>
      <c r="G55" s="52"/>
    </row>
    <row r="56" spans="1:7" s="1" customFormat="1" ht="14.5" customHeight="1" x14ac:dyDescent="0.35">
      <c r="A56" s="79" t="s">
        <v>22</v>
      </c>
      <c r="B56" s="79"/>
      <c r="C56" s="25">
        <v>0</v>
      </c>
    </row>
    <row r="57" spans="1:7" s="1" customFormat="1" ht="14.5" customHeight="1" x14ac:dyDescent="0.35">
      <c r="A57" s="79" t="s">
        <v>23</v>
      </c>
      <c r="B57" s="79"/>
      <c r="C57" s="25">
        <v>0</v>
      </c>
    </row>
    <row r="58" spans="1:7" s="1" customFormat="1" ht="14.5" customHeight="1" x14ac:dyDescent="0.35">
      <c r="A58" s="79" t="s">
        <v>27</v>
      </c>
      <c r="B58" s="79"/>
      <c r="C58" s="25">
        <v>0</v>
      </c>
    </row>
    <row r="59" spans="1:7" s="1" customFormat="1" ht="14.5" customHeight="1" x14ac:dyDescent="0.35">
      <c r="A59" s="77" t="s">
        <v>24</v>
      </c>
      <c r="B59" s="78"/>
      <c r="C59" s="19">
        <f>SUM(C52:C58)</f>
        <v>0</v>
      </c>
    </row>
    <row r="60" spans="1:7" s="1" customFormat="1" ht="14.5" customHeight="1" x14ac:dyDescent="0.35">
      <c r="A60" s="79" t="s">
        <v>25</v>
      </c>
      <c r="B60" s="79"/>
      <c r="C60" s="25">
        <f>+(C52+C53+C57)*5%</f>
        <v>0</v>
      </c>
    </row>
    <row r="61" spans="1:7" s="1" customFormat="1" ht="14.5" customHeight="1" x14ac:dyDescent="0.35">
      <c r="A61" s="79" t="s">
        <v>26</v>
      </c>
      <c r="B61" s="79"/>
      <c r="C61" s="25">
        <v>0</v>
      </c>
    </row>
    <row r="62" spans="1:7" s="1" customFormat="1" ht="14.5" customHeight="1" x14ac:dyDescent="0.35">
      <c r="A62" s="87" t="s">
        <v>59</v>
      </c>
      <c r="B62" s="87"/>
      <c r="C62" s="19">
        <f>+C59+C60+C61</f>
        <v>0</v>
      </c>
    </row>
    <row r="63" spans="1:7" s="1" customFormat="1" ht="14.5" customHeight="1" x14ac:dyDescent="0.35"/>
    <row r="64" spans="1:7" x14ac:dyDescent="0.35">
      <c r="A64" s="89" t="s">
        <v>51</v>
      </c>
      <c r="B64" s="90"/>
      <c r="C64" s="91"/>
    </row>
    <row r="65" spans="1:3" ht="15.5" x14ac:dyDescent="0.35">
      <c r="A65" s="81" t="s">
        <v>0</v>
      </c>
      <c r="B65" s="81"/>
      <c r="C65" s="27" t="s">
        <v>1</v>
      </c>
    </row>
    <row r="66" spans="1:3" x14ac:dyDescent="0.35">
      <c r="A66" s="79" t="s">
        <v>4</v>
      </c>
      <c r="B66" s="79"/>
      <c r="C66" s="25">
        <f>+C10+C24+C38+C52</f>
        <v>3200438000</v>
      </c>
    </row>
    <row r="67" spans="1:3" x14ac:dyDescent="0.35">
      <c r="A67" s="79" t="s">
        <v>19</v>
      </c>
      <c r="B67" s="79"/>
      <c r="C67" s="25">
        <f t="shared" ref="C67:C71" si="0">+C11+C25+C39+C53</f>
        <v>600000000</v>
      </c>
    </row>
    <row r="68" spans="1:3" x14ac:dyDescent="0.35">
      <c r="A68" s="79" t="s">
        <v>20</v>
      </c>
      <c r="B68" s="79"/>
      <c r="C68" s="25" t="e">
        <f>+#REF!+C26+C40+C54</f>
        <v>#REF!</v>
      </c>
    </row>
    <row r="69" spans="1:3" x14ac:dyDescent="0.35">
      <c r="A69" s="79" t="s">
        <v>21</v>
      </c>
      <c r="B69" s="79"/>
      <c r="C69" s="25">
        <f t="shared" si="0"/>
        <v>195000000</v>
      </c>
    </row>
    <row r="70" spans="1:3" x14ac:dyDescent="0.35">
      <c r="A70" s="79" t="s">
        <v>22</v>
      </c>
      <c r="B70" s="79"/>
      <c r="C70" s="25">
        <f t="shared" si="0"/>
        <v>0</v>
      </c>
    </row>
    <row r="71" spans="1:3" x14ac:dyDescent="0.35">
      <c r="A71" s="79" t="s">
        <v>23</v>
      </c>
      <c r="B71" s="79"/>
      <c r="C71" s="25">
        <f t="shared" si="0"/>
        <v>729148330.05000007</v>
      </c>
    </row>
    <row r="72" spans="1:3" x14ac:dyDescent="0.35">
      <c r="A72" s="79" t="s">
        <v>27</v>
      </c>
      <c r="B72" s="79"/>
      <c r="C72" s="25">
        <f>+C12+C30+C44+C58</f>
        <v>94048727</v>
      </c>
    </row>
    <row r="73" spans="1:3" x14ac:dyDescent="0.35">
      <c r="A73" s="77" t="s">
        <v>24</v>
      </c>
      <c r="B73" s="78"/>
      <c r="C73" s="19" t="e">
        <f>SUM(C66:C72)</f>
        <v>#REF!</v>
      </c>
    </row>
    <row r="74" spans="1:3" x14ac:dyDescent="0.35">
      <c r="A74" s="79" t="s">
        <v>25</v>
      </c>
      <c r="B74" s="79"/>
      <c r="C74" s="25">
        <f>+(C66+C67+C71)*5%</f>
        <v>226479316.50250003</v>
      </c>
    </row>
    <row r="75" spans="1:3" x14ac:dyDescent="0.35">
      <c r="A75" s="79" t="s">
        <v>26</v>
      </c>
      <c r="B75" s="79"/>
      <c r="C75" s="25">
        <v>0</v>
      </c>
    </row>
    <row r="76" spans="1:3" x14ac:dyDescent="0.35">
      <c r="A76" s="92" t="s">
        <v>1</v>
      </c>
      <c r="B76" s="92"/>
      <c r="C76" s="33" t="e">
        <f>+C73+C74+C75</f>
        <v>#REF!</v>
      </c>
    </row>
  </sheetData>
  <mergeCells count="75">
    <mergeCell ref="A29:B29"/>
    <mergeCell ref="A30:B30"/>
    <mergeCell ref="A31:B31"/>
    <mergeCell ref="A32:B32"/>
    <mergeCell ref="A33:B33"/>
    <mergeCell ref="A34:B34"/>
    <mergeCell ref="A35:C35"/>
    <mergeCell ref="A51:B51"/>
    <mergeCell ref="A52:B52"/>
    <mergeCell ref="A53:B53"/>
    <mergeCell ref="E22:E25"/>
    <mergeCell ref="E27:E32"/>
    <mergeCell ref="E34:G34"/>
    <mergeCell ref="E43:G43"/>
    <mergeCell ref="E53:G53"/>
    <mergeCell ref="A76:B76"/>
    <mergeCell ref="A71:B71"/>
    <mergeCell ref="A72:B72"/>
    <mergeCell ref="A73:B73"/>
    <mergeCell ref="A74:B74"/>
    <mergeCell ref="A75:B75"/>
    <mergeCell ref="A68:B68"/>
    <mergeCell ref="A69:B69"/>
    <mergeCell ref="A70:B70"/>
    <mergeCell ref="A47:B47"/>
    <mergeCell ref="A48:B48"/>
    <mergeCell ref="A66:B66"/>
    <mergeCell ref="A65:B65"/>
    <mergeCell ref="A57:B57"/>
    <mergeCell ref="A58:B58"/>
    <mergeCell ref="A59:B59"/>
    <mergeCell ref="A60:B60"/>
    <mergeCell ref="A64:C64"/>
    <mergeCell ref="A54:B54"/>
    <mergeCell ref="A55:B55"/>
    <mergeCell ref="A61:B61"/>
    <mergeCell ref="A62:B62"/>
    <mergeCell ref="A67:B67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56:B56"/>
    <mergeCell ref="A24:B24"/>
    <mergeCell ref="A25:B25"/>
    <mergeCell ref="A26:B26"/>
    <mergeCell ref="A27:B27"/>
    <mergeCell ref="A28:B28"/>
    <mergeCell ref="A20:B20"/>
    <mergeCell ref="A21:C21"/>
    <mergeCell ref="A18:B18"/>
    <mergeCell ref="A19:B19"/>
    <mergeCell ref="A23:B23"/>
    <mergeCell ref="E2:G2"/>
    <mergeCell ref="F3:G3"/>
    <mergeCell ref="F4:G4"/>
    <mergeCell ref="F5:G5"/>
    <mergeCell ref="A17:B17"/>
    <mergeCell ref="A15:B15"/>
    <mergeCell ref="A16:B16"/>
    <mergeCell ref="A7:C7"/>
    <mergeCell ref="A9:B9"/>
    <mergeCell ref="A11:B11"/>
    <mergeCell ref="A12:B12"/>
    <mergeCell ref="A13:B13"/>
    <mergeCell ref="A14:B14"/>
    <mergeCell ref="A10:B10"/>
    <mergeCell ref="E9:E19"/>
    <mergeCell ref="E7:F8"/>
  </mergeCells>
  <dataValidations count="3">
    <dataValidation type="list" allowBlank="1" showInputMessage="1" showErrorMessage="1" sqref="F38" xr:uid="{29C59A5D-AB11-43D3-8B3F-CB567AF86F85}">
      <formula1>$F$9:$F$19</formula1>
    </dataValidation>
    <dataValidation type="list" allowBlank="1" showInputMessage="1" showErrorMessage="1" sqref="F39" xr:uid="{8A31908F-C930-4BE7-9CD5-12181B891807}">
      <formula1>$F$27:$F$32</formula1>
    </dataValidation>
    <dataValidation type="list" allowBlank="1" showInputMessage="1" showErrorMessage="1" sqref="F40" xr:uid="{57E8C75E-8858-4423-903B-154C372F1532}">
      <formula1>$F$22:$F$25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161BF-5A4B-4EE6-9043-EE1E14CA22A4}">
  <dimension ref="A2:H36"/>
  <sheetViews>
    <sheetView workbookViewId="0">
      <selection activeCell="D24" sqref="D9:D24"/>
    </sheetView>
  </sheetViews>
  <sheetFormatPr baseColWidth="10" defaultRowHeight="14.5" x14ac:dyDescent="0.35"/>
  <cols>
    <col min="1" max="1" width="18.6328125" customWidth="1"/>
    <col min="2" max="2" width="40.6328125" customWidth="1"/>
    <col min="3" max="3" width="18.1796875" customWidth="1"/>
    <col min="4" max="4" width="22.6328125" customWidth="1"/>
    <col min="5" max="5" width="6.36328125" customWidth="1"/>
    <col min="6" max="6" width="32.90625" customWidth="1"/>
    <col min="7" max="7" width="16.6328125" customWidth="1"/>
    <col min="8" max="8" width="12.08984375" bestFit="1" customWidth="1"/>
  </cols>
  <sheetData>
    <row r="2" spans="1:8" x14ac:dyDescent="0.35">
      <c r="F2" s="75" t="s">
        <v>41</v>
      </c>
      <c r="G2" s="75"/>
      <c r="H2" s="75"/>
    </row>
    <row r="3" spans="1:8" x14ac:dyDescent="0.35">
      <c r="F3" s="28" t="s">
        <v>42</v>
      </c>
      <c r="G3" s="76"/>
      <c r="H3" s="76"/>
    </row>
    <row r="4" spans="1:8" x14ac:dyDescent="0.35">
      <c r="F4" s="28" t="s">
        <v>43</v>
      </c>
      <c r="G4" s="76"/>
      <c r="H4" s="76"/>
    </row>
    <row r="5" spans="1:8" s="3" customFormat="1" x14ac:dyDescent="0.35">
      <c r="A5" s="15" t="s">
        <v>31</v>
      </c>
      <c r="B5" s="16" t="s">
        <v>73</v>
      </c>
      <c r="C5" s="16"/>
      <c r="D5" s="12" t="s">
        <v>74</v>
      </c>
      <c r="F5" s="28" t="s">
        <v>44</v>
      </c>
      <c r="G5" s="76"/>
      <c r="H5" s="76"/>
    </row>
    <row r="6" spans="1:8" s="3" customFormat="1" x14ac:dyDescent="0.35">
      <c r="A6" s="15" t="s">
        <v>18</v>
      </c>
      <c r="B6" s="16" t="s">
        <v>75</v>
      </c>
      <c r="C6" s="16"/>
      <c r="D6" s="12" t="s">
        <v>76</v>
      </c>
    </row>
    <row r="7" spans="1:8" s="1" customFormat="1" ht="15" customHeight="1" x14ac:dyDescent="0.35">
      <c r="A7" s="109" t="s">
        <v>32</v>
      </c>
      <c r="B7" s="109"/>
      <c r="C7" s="109"/>
      <c r="D7" s="109"/>
      <c r="F7" s="110" t="s">
        <v>33</v>
      </c>
      <c r="G7" s="110"/>
    </row>
    <row r="8" spans="1:8" s="3" customFormat="1" ht="15.5" x14ac:dyDescent="0.35">
      <c r="A8" s="111" t="s">
        <v>0</v>
      </c>
      <c r="B8" s="111"/>
      <c r="C8" s="44" t="s">
        <v>95</v>
      </c>
      <c r="D8" s="17" t="s">
        <v>1</v>
      </c>
      <c r="F8" s="82" t="s">
        <v>17</v>
      </c>
      <c r="G8" s="6">
        <v>0</v>
      </c>
    </row>
    <row r="9" spans="1:8" s="3" customFormat="1" ht="15" customHeight="1" x14ac:dyDescent="0.35">
      <c r="A9" s="42" t="s">
        <v>5</v>
      </c>
      <c r="B9" s="47" t="s">
        <v>80</v>
      </c>
      <c r="C9" s="48" t="s">
        <v>99</v>
      </c>
      <c r="D9" s="49">
        <v>1310847000</v>
      </c>
      <c r="F9" s="82"/>
      <c r="G9" s="6">
        <v>100000000</v>
      </c>
    </row>
    <row r="10" spans="1:8" s="3" customFormat="1" ht="21" x14ac:dyDescent="0.35">
      <c r="A10" s="42" t="s">
        <v>6</v>
      </c>
      <c r="B10" s="47" t="s">
        <v>86</v>
      </c>
      <c r="C10" s="48" t="s">
        <v>96</v>
      </c>
      <c r="D10" s="49">
        <v>337308000</v>
      </c>
      <c r="F10" s="82"/>
      <c r="G10" s="6">
        <v>200000000</v>
      </c>
    </row>
    <row r="11" spans="1:8" s="3" customFormat="1" ht="21" x14ac:dyDescent="0.35">
      <c r="A11" s="42" t="s">
        <v>7</v>
      </c>
      <c r="B11" s="47" t="s">
        <v>87</v>
      </c>
      <c r="C11" s="48" t="s">
        <v>96</v>
      </c>
      <c r="D11" s="49">
        <v>320000000</v>
      </c>
      <c r="F11" s="82"/>
      <c r="G11" s="6">
        <v>500000000</v>
      </c>
    </row>
    <row r="12" spans="1:8" s="3" customFormat="1" x14ac:dyDescent="0.35">
      <c r="A12" s="42" t="s">
        <v>8</v>
      </c>
      <c r="B12" s="46" t="s">
        <v>88</v>
      </c>
      <c r="C12" s="48" t="s">
        <v>97</v>
      </c>
      <c r="D12" s="49">
        <v>51000000</v>
      </c>
      <c r="F12" s="82"/>
      <c r="G12" s="6">
        <v>1000000000</v>
      </c>
    </row>
    <row r="13" spans="1:8" s="3" customFormat="1" ht="13.5" customHeight="1" x14ac:dyDescent="0.35">
      <c r="A13" s="42" t="s">
        <v>62</v>
      </c>
      <c r="B13" s="46" t="s">
        <v>89</v>
      </c>
      <c r="C13" s="48" t="s">
        <v>97</v>
      </c>
      <c r="D13" s="49">
        <f>241000000-D12</f>
        <v>190000000</v>
      </c>
    </row>
    <row r="14" spans="1:8" s="3" customFormat="1" x14ac:dyDescent="0.35">
      <c r="A14" s="42" t="s">
        <v>63</v>
      </c>
      <c r="B14" s="46" t="s">
        <v>90</v>
      </c>
      <c r="C14" s="48" t="s">
        <v>98</v>
      </c>
      <c r="D14" s="49">
        <v>327000000</v>
      </c>
      <c r="F14" s="96" t="s">
        <v>29</v>
      </c>
      <c r="G14" s="6">
        <v>0</v>
      </c>
    </row>
    <row r="15" spans="1:8" s="3" customFormat="1" x14ac:dyDescent="0.35">
      <c r="A15" s="42" t="s">
        <v>64</v>
      </c>
      <c r="B15" s="46" t="s">
        <v>94</v>
      </c>
      <c r="C15" s="48" t="s">
        <v>99</v>
      </c>
      <c r="D15" s="49">
        <v>346148600</v>
      </c>
      <c r="F15" s="97"/>
      <c r="G15" s="6">
        <v>5000000</v>
      </c>
    </row>
    <row r="16" spans="1:8" s="3" customFormat="1" ht="14.5" customHeight="1" x14ac:dyDescent="0.35">
      <c r="A16" s="42" t="s">
        <v>65</v>
      </c>
      <c r="B16" s="46" t="s">
        <v>77</v>
      </c>
      <c r="C16" s="48" t="s">
        <v>99</v>
      </c>
      <c r="D16" s="49">
        <v>135000000</v>
      </c>
      <c r="F16" s="97"/>
      <c r="G16" s="6">
        <v>10000000</v>
      </c>
      <c r="H16" s="4"/>
    </row>
    <row r="17" spans="1:8" s="1" customFormat="1" x14ac:dyDescent="0.35">
      <c r="A17" s="42" t="s">
        <v>66</v>
      </c>
      <c r="B17" s="47" t="s">
        <v>83</v>
      </c>
      <c r="C17" s="48" t="s">
        <v>100</v>
      </c>
      <c r="D17" s="49">
        <v>274072000</v>
      </c>
      <c r="F17" s="97"/>
      <c r="G17" s="6">
        <v>20000000</v>
      </c>
    </row>
    <row r="18" spans="1:8" s="1" customFormat="1" x14ac:dyDescent="0.35">
      <c r="A18" s="42" t="s">
        <v>67</v>
      </c>
      <c r="B18" s="46" t="s">
        <v>82</v>
      </c>
      <c r="C18" s="48" t="s">
        <v>99</v>
      </c>
      <c r="D18" s="49">
        <v>170000000</v>
      </c>
      <c r="F18" s="97"/>
      <c r="G18" s="6">
        <v>50000000</v>
      </c>
    </row>
    <row r="19" spans="1:8" s="1" customFormat="1" ht="14.5" customHeight="1" x14ac:dyDescent="0.35">
      <c r="A19" s="42" t="s">
        <v>68</v>
      </c>
      <c r="B19" s="46" t="s">
        <v>81</v>
      </c>
      <c r="C19" s="48" t="s">
        <v>99</v>
      </c>
      <c r="D19" s="50">
        <v>3413422000</v>
      </c>
      <c r="F19" s="98"/>
      <c r="G19" s="6">
        <v>100000000</v>
      </c>
    </row>
    <row r="20" spans="1:8" s="1" customFormat="1" x14ac:dyDescent="0.35">
      <c r="A20" s="42" t="s">
        <v>69</v>
      </c>
      <c r="B20" s="46" t="s">
        <v>84</v>
      </c>
      <c r="C20" s="48" t="s">
        <v>100</v>
      </c>
      <c r="D20" s="50">
        <v>2605777000</v>
      </c>
    </row>
    <row r="21" spans="1:8" s="1" customFormat="1" x14ac:dyDescent="0.35">
      <c r="A21" s="42" t="s">
        <v>70</v>
      </c>
      <c r="B21" s="46" t="s">
        <v>85</v>
      </c>
      <c r="C21" s="48" t="s">
        <v>96</v>
      </c>
      <c r="D21" s="50">
        <v>3413422000</v>
      </c>
      <c r="F21" s="112" t="s">
        <v>13</v>
      </c>
      <c r="G21" s="113"/>
      <c r="H21" s="114"/>
    </row>
    <row r="22" spans="1:8" s="1" customFormat="1" x14ac:dyDescent="0.35">
      <c r="A22" s="42" t="s">
        <v>71</v>
      </c>
      <c r="B22" s="47" t="s">
        <v>78</v>
      </c>
      <c r="C22" s="48" t="s">
        <v>97</v>
      </c>
      <c r="D22" s="49">
        <v>310111826</v>
      </c>
      <c r="F22" s="7" t="s">
        <v>10</v>
      </c>
      <c r="G22" s="8" t="s">
        <v>11</v>
      </c>
      <c r="H22" s="8" t="s">
        <v>12</v>
      </c>
    </row>
    <row r="23" spans="1:8" s="1" customFormat="1" x14ac:dyDescent="0.35">
      <c r="A23" s="42" t="s">
        <v>72</v>
      </c>
      <c r="B23" s="46" t="s">
        <v>79</v>
      </c>
      <c r="C23" s="48" t="s">
        <v>97</v>
      </c>
      <c r="D23" s="49">
        <v>2876560000</v>
      </c>
      <c r="F23" s="5" t="s">
        <v>16</v>
      </c>
      <c r="G23" s="6">
        <f>D28</f>
        <v>19905089848.349998</v>
      </c>
      <c r="H23" s="43">
        <f>IF(((B32*D32/1000)+(B33*D33/1000))&lt;(908526*100%),(908526*100%),((B32*D32/1000)+(B33*D33/1000)))</f>
        <v>26232064.835861251</v>
      </c>
    </row>
    <row r="24" spans="1:8" s="1" customFormat="1" x14ac:dyDescent="0.35">
      <c r="A24" s="42" t="s">
        <v>91</v>
      </c>
      <c r="B24" s="46" t="s">
        <v>93</v>
      </c>
      <c r="C24" s="48" t="s">
        <v>97</v>
      </c>
      <c r="D24" s="49">
        <v>2876560001</v>
      </c>
      <c r="F24" s="5" t="s">
        <v>17</v>
      </c>
      <c r="G24" s="6">
        <f>B34</f>
        <v>500000000</v>
      </c>
      <c r="H24" s="6">
        <f>+(B34*D34)/1000</f>
        <v>900000</v>
      </c>
    </row>
    <row r="25" spans="1:8" s="1" customFormat="1" ht="14.5" customHeight="1" x14ac:dyDescent="0.35">
      <c r="A25" s="77" t="s">
        <v>24</v>
      </c>
      <c r="B25" s="78"/>
      <c r="C25" s="38"/>
      <c r="D25" s="19">
        <f>SUM(D9:D24)</f>
        <v>18957228427</v>
      </c>
      <c r="F25" s="5" t="s">
        <v>30</v>
      </c>
      <c r="G25" s="6">
        <f>B35</f>
        <v>0</v>
      </c>
      <c r="H25" s="6">
        <f>B35*D35%</f>
        <v>0</v>
      </c>
    </row>
    <row r="26" spans="1:8" s="1" customFormat="1" x14ac:dyDescent="0.35">
      <c r="A26" s="39" t="s">
        <v>25</v>
      </c>
      <c r="B26" s="39"/>
      <c r="C26" s="39"/>
      <c r="D26" s="25">
        <f>+D25*5%</f>
        <v>947861421.35000002</v>
      </c>
      <c r="F26" s="10" t="s">
        <v>14</v>
      </c>
      <c r="G26" s="10"/>
      <c r="H26" s="13">
        <f>+H23+H24+H25</f>
        <v>27132064.835861251</v>
      </c>
    </row>
    <row r="27" spans="1:8" s="1" customFormat="1" ht="14.5" customHeight="1" x14ac:dyDescent="0.35">
      <c r="A27" s="79" t="s">
        <v>26</v>
      </c>
      <c r="B27" s="79"/>
      <c r="C27" s="39"/>
      <c r="D27" s="25">
        <v>0</v>
      </c>
      <c r="F27" s="11" t="s">
        <v>9</v>
      </c>
      <c r="G27" s="11"/>
      <c r="H27" s="6">
        <f>H26*19%</f>
        <v>5155092.3188136378</v>
      </c>
    </row>
    <row r="28" spans="1:8" s="1" customFormat="1" ht="14.5" customHeight="1" x14ac:dyDescent="0.35">
      <c r="A28" s="87" t="s">
        <v>92</v>
      </c>
      <c r="B28" s="87"/>
      <c r="C28" s="41"/>
      <c r="D28" s="19">
        <f>+D25+D26+D27</f>
        <v>19905089848.349998</v>
      </c>
      <c r="F28" s="9" t="s">
        <v>15</v>
      </c>
      <c r="G28" s="9"/>
      <c r="H28" s="14">
        <f>SUM(H26:H27)</f>
        <v>32287157.154674888</v>
      </c>
    </row>
    <row r="29" spans="1:8" s="1" customFormat="1" x14ac:dyDescent="0.35"/>
    <row r="30" spans="1:8" s="1" customFormat="1" x14ac:dyDescent="0.35">
      <c r="A30" s="109" t="s">
        <v>34</v>
      </c>
      <c r="B30" s="109"/>
      <c r="C30" s="109"/>
      <c r="D30" s="109"/>
    </row>
    <row r="31" spans="1:8" s="1" customFormat="1" x14ac:dyDescent="0.35">
      <c r="A31" s="40" t="s">
        <v>35</v>
      </c>
      <c r="B31" s="40" t="s">
        <v>36</v>
      </c>
      <c r="C31" s="40"/>
      <c r="D31" s="40" t="s">
        <v>37</v>
      </c>
    </row>
    <row r="32" spans="1:8" s="1" customFormat="1" x14ac:dyDescent="0.35">
      <c r="A32" s="22" t="s">
        <v>2</v>
      </c>
      <c r="B32" s="23">
        <f>D25</f>
        <v>18957228427</v>
      </c>
      <c r="C32" s="23"/>
      <c r="D32" s="24">
        <v>1.35</v>
      </c>
    </row>
    <row r="33" spans="1:4" s="1" customFormat="1" x14ac:dyDescent="0.35">
      <c r="A33" s="22" t="s">
        <v>38</v>
      </c>
      <c r="B33" s="23">
        <f>D26</f>
        <v>947861421.35000002</v>
      </c>
      <c r="C33" s="23"/>
      <c r="D33" s="24">
        <f>+D32*50%</f>
        <v>0.67500000000000004</v>
      </c>
    </row>
    <row r="34" spans="1:4" s="1" customFormat="1" x14ac:dyDescent="0.35">
      <c r="A34" s="21" t="s">
        <v>3</v>
      </c>
      <c r="B34" s="23">
        <v>500000000</v>
      </c>
      <c r="C34" s="23"/>
      <c r="D34" s="24">
        <v>1.8</v>
      </c>
    </row>
    <row r="35" spans="1:4" ht="14.5" customHeight="1" x14ac:dyDescent="0.35">
      <c r="A35" s="22" t="s">
        <v>39</v>
      </c>
      <c r="B35" s="23">
        <v>0</v>
      </c>
      <c r="C35" s="23"/>
      <c r="D35" s="24">
        <v>3</v>
      </c>
    </row>
    <row r="36" spans="1:4" x14ac:dyDescent="0.35">
      <c r="A36" s="22" t="s">
        <v>28</v>
      </c>
      <c r="B36" s="22"/>
      <c r="C36" s="22"/>
      <c r="D36" s="24">
        <v>0.8</v>
      </c>
    </row>
  </sheetData>
  <mergeCells count="14">
    <mergeCell ref="A25:B25"/>
    <mergeCell ref="A27:B27"/>
    <mergeCell ref="A28:B28"/>
    <mergeCell ref="A30:D30"/>
    <mergeCell ref="F2:H2"/>
    <mergeCell ref="G3:H3"/>
    <mergeCell ref="G4:H4"/>
    <mergeCell ref="G5:H5"/>
    <mergeCell ref="F7:G7"/>
    <mergeCell ref="A7:D7"/>
    <mergeCell ref="A8:B8"/>
    <mergeCell ref="F21:H21"/>
    <mergeCell ref="F8:F12"/>
    <mergeCell ref="F14:F19"/>
  </mergeCells>
  <phoneticPr fontId="11" type="noConversion"/>
  <dataValidations count="2">
    <dataValidation type="list" allowBlank="1" showInputMessage="1" showErrorMessage="1" sqref="B34:C34" xr:uid="{AEB4470C-1A70-4232-BA82-1B9E1451A408}">
      <formula1>$G$9:$G$13</formula1>
    </dataValidation>
    <dataValidation type="list" allowBlank="1" showInputMessage="1" showErrorMessage="1" sqref="B35:C35" xr:uid="{4549F339-8E3C-4FF8-BF4B-81FE3B57C54B}">
      <formula1>$G$16:$G$21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5D9D7-2D5E-4FAC-912C-B2C6AA11F3CF}">
  <dimension ref="A2:P37"/>
  <sheetViews>
    <sheetView tabSelected="1" topLeftCell="A10" workbookViewId="0">
      <selection activeCell="E18" sqref="E18:G25"/>
    </sheetView>
  </sheetViews>
  <sheetFormatPr baseColWidth="10" defaultRowHeight="14.5" x14ac:dyDescent="0.35"/>
  <cols>
    <col min="1" max="1" width="18.6328125" customWidth="1"/>
    <col min="2" max="2" width="40.6328125" customWidth="1"/>
    <col min="3" max="3" width="22.6328125" customWidth="1"/>
    <col min="4" max="4" width="6.36328125" customWidth="1"/>
    <col min="5" max="5" width="32.90625" customWidth="1"/>
    <col min="6" max="6" width="16.6328125" customWidth="1"/>
    <col min="7" max="7" width="12.08984375" bestFit="1" customWidth="1"/>
    <col min="8" max="8" width="14.6328125" customWidth="1"/>
    <col min="9" max="9" width="1" customWidth="1"/>
    <col min="10" max="12" width="15" customWidth="1"/>
    <col min="13" max="13" width="2.08984375" customWidth="1"/>
    <col min="14" max="16" width="15" customWidth="1"/>
  </cols>
  <sheetData>
    <row r="2" spans="1:16" x14ac:dyDescent="0.35">
      <c r="E2" s="75" t="s">
        <v>41</v>
      </c>
      <c r="F2" s="75"/>
      <c r="G2" s="75"/>
    </row>
    <row r="3" spans="1:16" x14ac:dyDescent="0.35">
      <c r="E3" s="28" t="s">
        <v>42</v>
      </c>
      <c r="F3" s="76"/>
      <c r="G3" s="76"/>
    </row>
    <row r="4" spans="1:16" x14ac:dyDescent="0.35">
      <c r="E4" s="28" t="s">
        <v>43</v>
      </c>
      <c r="F4" s="76"/>
      <c r="G4" s="76"/>
    </row>
    <row r="5" spans="1:16" x14ac:dyDescent="0.35">
      <c r="A5" s="15" t="s">
        <v>31</v>
      </c>
      <c r="B5" s="16" t="s">
        <v>140</v>
      </c>
      <c r="C5" s="12" t="s">
        <v>141</v>
      </c>
      <c r="E5" s="28" t="s">
        <v>44</v>
      </c>
      <c r="F5" s="76"/>
      <c r="G5" s="76"/>
    </row>
    <row r="6" spans="1:16" s="1" customFormat="1" ht="24.5" thickBot="1" x14ac:dyDescent="0.4">
      <c r="A6" s="15" t="s">
        <v>45</v>
      </c>
      <c r="B6" s="16" t="s">
        <v>146</v>
      </c>
      <c r="C6" s="129" t="s">
        <v>142</v>
      </c>
    </row>
    <row r="7" spans="1:16" s="1" customFormat="1" ht="15" customHeight="1" thickBot="1" x14ac:dyDescent="0.4">
      <c r="A7" s="80" t="s">
        <v>32</v>
      </c>
      <c r="B7" s="80"/>
      <c r="C7" s="80"/>
      <c r="E7" s="121" t="s">
        <v>33</v>
      </c>
      <c r="F7" s="121"/>
      <c r="G7" s="122"/>
      <c r="H7" s="122"/>
      <c r="J7" s="126" t="s">
        <v>125</v>
      </c>
      <c r="K7" s="127"/>
      <c r="L7" s="127"/>
      <c r="M7" s="128"/>
      <c r="N7" s="127"/>
      <c r="O7" s="127"/>
      <c r="P7" s="127"/>
    </row>
    <row r="8" spans="1:16" s="1" customFormat="1" ht="16.5" customHeight="1" x14ac:dyDescent="0.35">
      <c r="A8" s="26" t="s">
        <v>46</v>
      </c>
      <c r="B8" s="26" t="str">
        <f>B6</f>
        <v>CARRERA 56 # 82 - 146 PISO 4</v>
      </c>
      <c r="C8" s="26" t="str">
        <f>C6</f>
        <v>BARRANQUILLA (A)</v>
      </c>
      <c r="E8" s="115" t="s">
        <v>17</v>
      </c>
      <c r="F8" s="6">
        <v>0</v>
      </c>
      <c r="G8" s="123" t="s">
        <v>29</v>
      </c>
      <c r="H8" s="53">
        <v>0</v>
      </c>
      <c r="J8" s="125" t="s">
        <v>124</v>
      </c>
      <c r="K8" s="125"/>
      <c r="L8" s="125"/>
      <c r="M8" s="62"/>
      <c r="N8" s="125" t="s">
        <v>113</v>
      </c>
      <c r="O8" s="125"/>
      <c r="P8" s="125"/>
    </row>
    <row r="9" spans="1:16" s="3" customFormat="1" ht="15.5" x14ac:dyDescent="0.35">
      <c r="A9" s="111" t="s">
        <v>0</v>
      </c>
      <c r="B9" s="111"/>
      <c r="C9" s="17" t="s">
        <v>1</v>
      </c>
      <c r="E9" s="115"/>
      <c r="F9" s="6">
        <v>50000000</v>
      </c>
      <c r="G9" s="123"/>
      <c r="H9" s="6">
        <v>5000000</v>
      </c>
      <c r="J9" s="7" t="s">
        <v>112</v>
      </c>
      <c r="K9" s="7" t="s">
        <v>103</v>
      </c>
      <c r="L9" s="7" t="s">
        <v>104</v>
      </c>
      <c r="M9" s="63"/>
      <c r="N9" s="7" t="s">
        <v>112</v>
      </c>
      <c r="O9" s="7" t="s">
        <v>103</v>
      </c>
      <c r="P9" s="7" t="s">
        <v>104</v>
      </c>
    </row>
    <row r="10" spans="1:16" s="3" customFormat="1" x14ac:dyDescent="0.35">
      <c r="A10" s="117" t="s">
        <v>40</v>
      </c>
      <c r="B10" s="117"/>
      <c r="C10" s="18">
        <v>50000000</v>
      </c>
      <c r="E10" s="115"/>
      <c r="F10" s="6">
        <v>100000000</v>
      </c>
      <c r="G10" s="123"/>
      <c r="H10" s="6">
        <v>10000000</v>
      </c>
      <c r="J10" s="56" t="s">
        <v>105</v>
      </c>
      <c r="K10" s="57">
        <v>0</v>
      </c>
      <c r="L10" s="57">
        <v>0</v>
      </c>
      <c r="M10" s="64"/>
      <c r="N10" s="58" t="s">
        <v>114</v>
      </c>
      <c r="O10" s="57">
        <v>0</v>
      </c>
      <c r="P10" s="57">
        <v>0</v>
      </c>
    </row>
    <row r="11" spans="1:16" s="3" customFormat="1" ht="14.5" customHeight="1" x14ac:dyDescent="0.35">
      <c r="A11" s="117" t="s">
        <v>19</v>
      </c>
      <c r="B11" s="117"/>
      <c r="C11" s="18">
        <f>14500000+8800000</f>
        <v>23300000</v>
      </c>
      <c r="E11" s="115"/>
      <c r="F11" s="6">
        <v>200000000</v>
      </c>
      <c r="G11" s="123"/>
      <c r="H11" s="6">
        <v>20000000</v>
      </c>
      <c r="J11" s="58" t="s">
        <v>106</v>
      </c>
      <c r="K11" s="57">
        <v>0.1</v>
      </c>
      <c r="L11" s="57">
        <v>0.1</v>
      </c>
      <c r="M11" s="64"/>
      <c r="N11" s="58" t="s">
        <v>115</v>
      </c>
      <c r="O11" s="57">
        <v>0.2</v>
      </c>
      <c r="P11" s="57">
        <v>0.2</v>
      </c>
    </row>
    <row r="12" spans="1:16" s="3" customFormat="1" ht="14.5" customHeight="1" x14ac:dyDescent="0.35">
      <c r="A12" s="117" t="s">
        <v>20</v>
      </c>
      <c r="B12" s="117"/>
      <c r="C12" s="18">
        <v>0</v>
      </c>
      <c r="E12" s="115"/>
      <c r="F12" s="6">
        <v>500000000</v>
      </c>
      <c r="G12" s="123"/>
      <c r="H12" s="6">
        <v>50000000</v>
      </c>
      <c r="J12" s="58" t="s">
        <v>107</v>
      </c>
      <c r="K12" s="57">
        <v>0.1</v>
      </c>
      <c r="L12" s="57">
        <v>0.2</v>
      </c>
      <c r="M12" s="64"/>
      <c r="N12" s="58" t="s">
        <v>116</v>
      </c>
      <c r="O12" s="57">
        <v>0.25</v>
      </c>
      <c r="P12" s="57">
        <v>0.45</v>
      </c>
    </row>
    <row r="13" spans="1:16" s="3" customFormat="1" ht="14.5" customHeight="1" x14ac:dyDescent="0.35">
      <c r="A13" s="117" t="s">
        <v>21</v>
      </c>
      <c r="B13" s="117"/>
      <c r="C13" s="18">
        <v>38000000</v>
      </c>
      <c r="E13" s="115"/>
      <c r="F13" s="6">
        <v>1000000000</v>
      </c>
      <c r="G13" s="124"/>
      <c r="H13" s="6">
        <v>100000000</v>
      </c>
      <c r="J13" s="58" t="s">
        <v>108</v>
      </c>
      <c r="K13" s="57">
        <v>0.1</v>
      </c>
      <c r="L13" s="57">
        <v>0.3</v>
      </c>
      <c r="M13" s="64"/>
      <c r="N13" s="58" t="s">
        <v>122</v>
      </c>
      <c r="O13" s="57"/>
      <c r="P13" s="60" t="s">
        <v>123</v>
      </c>
    </row>
    <row r="14" spans="1:16" s="3" customFormat="1" ht="14.5" customHeight="1" x14ac:dyDescent="0.35">
      <c r="A14" s="117" t="s">
        <v>143</v>
      </c>
      <c r="B14" s="117"/>
      <c r="C14" s="18">
        <f>64800000+150000000</f>
        <v>214800000</v>
      </c>
      <c r="E14" s="115"/>
      <c r="F14" s="6">
        <v>1500000000</v>
      </c>
      <c r="J14" s="58" t="s">
        <v>109</v>
      </c>
      <c r="K14" s="57">
        <v>0.1</v>
      </c>
      <c r="L14" s="57">
        <v>0.4</v>
      </c>
      <c r="M14" s="64"/>
    </row>
    <row r="15" spans="1:16" s="3" customFormat="1" x14ac:dyDescent="0.35">
      <c r="A15" s="117" t="s">
        <v>144</v>
      </c>
      <c r="B15" s="117"/>
      <c r="C15" s="18">
        <f>45000000+4000000</f>
        <v>49000000</v>
      </c>
      <c r="E15" s="115"/>
      <c r="F15" s="6">
        <v>2000000000</v>
      </c>
      <c r="J15" s="58" t="s">
        <v>110</v>
      </c>
      <c r="K15" s="57">
        <v>0.1</v>
      </c>
      <c r="L15" s="57">
        <v>0.5</v>
      </c>
      <c r="M15" s="64"/>
    </row>
    <row r="16" spans="1:16" s="3" customFormat="1" x14ac:dyDescent="0.35">
      <c r="A16" s="117" t="s">
        <v>145</v>
      </c>
      <c r="B16" s="117"/>
      <c r="C16" s="18">
        <f>+(52335.51*4174.87)+46636700</f>
        <v>265130650.63370001</v>
      </c>
      <c r="E16" s="115"/>
      <c r="F16" s="6">
        <v>2500000000</v>
      </c>
      <c r="J16" s="58" t="s">
        <v>111</v>
      </c>
      <c r="K16" s="59"/>
      <c r="L16" s="56" t="s">
        <v>123</v>
      </c>
      <c r="M16" s="65"/>
    </row>
    <row r="17" spans="1:13" s="3" customFormat="1" ht="15" customHeight="1" x14ac:dyDescent="0.35">
      <c r="A17" s="117" t="s">
        <v>23</v>
      </c>
      <c r="B17" s="117"/>
      <c r="C17" s="18">
        <v>10500000</v>
      </c>
      <c r="J17" s="125" t="s">
        <v>117</v>
      </c>
      <c r="K17" s="125"/>
      <c r="L17" s="125"/>
      <c r="M17" s="66"/>
    </row>
    <row r="18" spans="1:13" s="3" customFormat="1" ht="16" customHeight="1" x14ac:dyDescent="0.35">
      <c r="A18" s="117" t="s">
        <v>27</v>
      </c>
      <c r="B18" s="117"/>
      <c r="C18" s="18">
        <v>0</v>
      </c>
      <c r="E18" s="112" t="s">
        <v>13</v>
      </c>
      <c r="F18" s="113"/>
      <c r="G18" s="114"/>
      <c r="J18" s="58" t="s">
        <v>118</v>
      </c>
      <c r="K18" s="57">
        <v>0</v>
      </c>
      <c r="L18" s="57">
        <v>0</v>
      </c>
      <c r="M18" s="64"/>
    </row>
    <row r="19" spans="1:13" s="3" customFormat="1" ht="15" customHeight="1" x14ac:dyDescent="0.35">
      <c r="A19" s="120" t="s">
        <v>24</v>
      </c>
      <c r="B19" s="78"/>
      <c r="C19" s="19">
        <f>SUM(C10:C18)</f>
        <v>650730650.63370001</v>
      </c>
      <c r="E19" s="7" t="s">
        <v>10</v>
      </c>
      <c r="F19" s="8" t="s">
        <v>11</v>
      </c>
      <c r="G19" s="8" t="s">
        <v>12</v>
      </c>
      <c r="J19" s="58" t="s">
        <v>119</v>
      </c>
      <c r="K19" s="57">
        <v>0.2</v>
      </c>
      <c r="L19" s="57">
        <v>0.2</v>
      </c>
      <c r="M19" s="64"/>
    </row>
    <row r="20" spans="1:13" s="3" customFormat="1" ht="15" customHeight="1" x14ac:dyDescent="0.35">
      <c r="A20" s="118" t="s">
        <v>25</v>
      </c>
      <c r="B20" s="119"/>
      <c r="C20" s="18">
        <f>C19*5%</f>
        <v>32536532.531685002</v>
      </c>
      <c r="E20" s="5" t="s">
        <v>16</v>
      </c>
      <c r="F20" s="6">
        <f>B26</f>
        <v>650730650.63370001</v>
      </c>
      <c r="G20" s="6">
        <f>IF(((B26*C26/1000)+(B27*C27/1000))&lt;908526,908526,((B26*C26/1000)+(B27*C27/1000)))</f>
        <v>6673991.1624968229</v>
      </c>
      <c r="J20" s="58" t="s">
        <v>120</v>
      </c>
      <c r="K20" s="57">
        <v>0.1</v>
      </c>
      <c r="L20" s="57">
        <v>0.3</v>
      </c>
      <c r="M20" s="64"/>
    </row>
    <row r="21" spans="1:13" s="3" customFormat="1" ht="16" customHeight="1" x14ac:dyDescent="0.35">
      <c r="A21" s="118" t="s">
        <v>26</v>
      </c>
      <c r="B21" s="119"/>
      <c r="C21" s="18">
        <v>0</v>
      </c>
      <c r="E21" s="5" t="s">
        <v>17</v>
      </c>
      <c r="F21" s="6">
        <f>B28</f>
        <v>1000000000</v>
      </c>
      <c r="G21" s="6">
        <f>+(B28*C28)/1000</f>
        <v>3000000</v>
      </c>
      <c r="J21" s="58" t="s">
        <v>106</v>
      </c>
      <c r="K21" s="57">
        <v>0.05</v>
      </c>
      <c r="L21" s="57">
        <v>0.35</v>
      </c>
      <c r="M21" s="64"/>
    </row>
    <row r="22" spans="1:13" s="1" customFormat="1" ht="17" customHeight="1" x14ac:dyDescent="0.35">
      <c r="A22" s="120" t="s">
        <v>1</v>
      </c>
      <c r="B22" s="78"/>
      <c r="C22" s="19">
        <f>+C19+C20+C21</f>
        <v>683267183.16538501</v>
      </c>
      <c r="E22" s="5" t="s">
        <v>30</v>
      </c>
      <c r="F22" s="6">
        <f>B29</f>
        <v>0</v>
      </c>
      <c r="G22" s="6">
        <f>(B29*C29%)</f>
        <v>0</v>
      </c>
      <c r="J22" s="58" t="s">
        <v>107</v>
      </c>
      <c r="K22" s="57">
        <v>0.05</v>
      </c>
      <c r="L22" s="57">
        <v>0.4</v>
      </c>
      <c r="M22" s="64"/>
    </row>
    <row r="23" spans="1:13" s="1" customFormat="1" ht="16.5" customHeight="1" x14ac:dyDescent="0.35">
      <c r="D23" s="2"/>
      <c r="E23" s="10" t="s">
        <v>14</v>
      </c>
      <c r="F23" s="10"/>
      <c r="G23" s="13">
        <f>SUM(G20:G22)</f>
        <v>9673991.1624968238</v>
      </c>
      <c r="J23" s="58" t="s">
        <v>108</v>
      </c>
      <c r="K23" s="57">
        <v>0.05</v>
      </c>
      <c r="L23" s="57">
        <v>0.45</v>
      </c>
      <c r="M23" s="64"/>
    </row>
    <row r="24" spans="1:13" s="1" customFormat="1" ht="15.5" customHeight="1" x14ac:dyDescent="0.35">
      <c r="A24" s="109" t="s">
        <v>34</v>
      </c>
      <c r="B24" s="109"/>
      <c r="C24" s="109"/>
      <c r="D24" s="2"/>
      <c r="E24" s="45" t="s">
        <v>9</v>
      </c>
      <c r="F24" s="45"/>
      <c r="G24" s="6">
        <f>G23*19%</f>
        <v>1838058.3208743965</v>
      </c>
      <c r="J24" s="58" t="s">
        <v>109</v>
      </c>
      <c r="K24" s="57">
        <v>0.05</v>
      </c>
      <c r="L24" s="57">
        <v>0.5</v>
      </c>
      <c r="M24" s="61"/>
    </row>
    <row r="25" spans="1:13" s="1" customFormat="1" ht="14.5" customHeight="1" x14ac:dyDescent="0.35">
      <c r="A25" s="20" t="s">
        <v>35</v>
      </c>
      <c r="B25" s="20" t="s">
        <v>36</v>
      </c>
      <c r="C25" s="20" t="s">
        <v>37</v>
      </c>
      <c r="E25" s="9" t="s">
        <v>15</v>
      </c>
      <c r="F25" s="9"/>
      <c r="G25" s="14">
        <f>SUM(G23:G24)</f>
        <v>11512049.483371221</v>
      </c>
      <c r="J25" s="58" t="s">
        <v>121</v>
      </c>
      <c r="K25" s="28"/>
      <c r="L25" s="57" t="s">
        <v>123</v>
      </c>
      <c r="M25" s="61"/>
    </row>
    <row r="26" spans="1:13" s="1" customFormat="1" x14ac:dyDescent="0.35">
      <c r="A26" s="22" t="s">
        <v>2</v>
      </c>
      <c r="B26" s="23">
        <f>C19</f>
        <v>650730650.63370001</v>
      </c>
      <c r="C26" s="24">
        <v>10.006</v>
      </c>
    </row>
    <row r="27" spans="1:13" s="1" customFormat="1" x14ac:dyDescent="0.35">
      <c r="A27" s="22" t="s">
        <v>38</v>
      </c>
      <c r="B27" s="23">
        <f>C20</f>
        <v>32536532.531685002</v>
      </c>
      <c r="C27" s="24">
        <f>+C26*50%</f>
        <v>5.0030000000000001</v>
      </c>
      <c r="E27" s="115" t="s">
        <v>101</v>
      </c>
      <c r="F27" s="74" t="s">
        <v>102</v>
      </c>
    </row>
    <row r="28" spans="1:13" s="1" customFormat="1" x14ac:dyDescent="0.35">
      <c r="A28" s="21" t="s">
        <v>3</v>
      </c>
      <c r="B28" s="23">
        <v>1000000000</v>
      </c>
      <c r="C28" s="24">
        <v>3</v>
      </c>
      <c r="E28" s="115"/>
      <c r="F28" s="6">
        <v>50000000</v>
      </c>
    </row>
    <row r="29" spans="1:13" s="1" customFormat="1" x14ac:dyDescent="0.35">
      <c r="A29" s="22" t="s">
        <v>39</v>
      </c>
      <c r="B29" s="23">
        <v>0</v>
      </c>
      <c r="C29" s="24">
        <v>3</v>
      </c>
      <c r="E29" s="115"/>
      <c r="F29" s="6">
        <v>100000000</v>
      </c>
    </row>
    <row r="30" spans="1:13" x14ac:dyDescent="0.35">
      <c r="A30" s="22" t="s">
        <v>28</v>
      </c>
      <c r="B30" s="22"/>
      <c r="C30" s="24">
        <v>0.8</v>
      </c>
      <c r="E30" s="115"/>
      <c r="F30" s="6">
        <v>150000000</v>
      </c>
    </row>
    <row r="31" spans="1:13" x14ac:dyDescent="0.35">
      <c r="E31" s="115"/>
      <c r="F31" s="6">
        <v>200000000</v>
      </c>
    </row>
    <row r="33" spans="5:10" x14ac:dyDescent="0.35">
      <c r="E33" s="115" t="s">
        <v>138</v>
      </c>
      <c r="F33" s="74" t="s">
        <v>102</v>
      </c>
      <c r="G33" s="74" t="s">
        <v>139</v>
      </c>
    </row>
    <row r="34" spans="5:10" x14ac:dyDescent="0.35">
      <c r="E34" s="115"/>
      <c r="F34" s="6">
        <v>50000000</v>
      </c>
      <c r="G34" s="116">
        <v>1550000</v>
      </c>
      <c r="J34" s="55"/>
    </row>
    <row r="35" spans="5:10" x14ac:dyDescent="0.35">
      <c r="E35" s="115"/>
      <c r="F35" s="6">
        <v>100000000</v>
      </c>
      <c r="G35" s="116"/>
      <c r="J35" s="55"/>
    </row>
    <row r="36" spans="5:10" x14ac:dyDescent="0.35">
      <c r="E36" s="115"/>
      <c r="F36" s="6">
        <v>150000000</v>
      </c>
      <c r="G36" s="116"/>
    </row>
    <row r="37" spans="5:10" x14ac:dyDescent="0.35">
      <c r="E37" s="115"/>
      <c r="F37" s="6">
        <v>200000000</v>
      </c>
      <c r="G37" s="116"/>
    </row>
  </sheetData>
  <mergeCells count="31">
    <mergeCell ref="J17:L17"/>
    <mergeCell ref="E27:E31"/>
    <mergeCell ref="J8:L8"/>
    <mergeCell ref="A15:B15"/>
    <mergeCell ref="A9:B9"/>
    <mergeCell ref="A16:B16"/>
    <mergeCell ref="A17:B17"/>
    <mergeCell ref="A7:C7"/>
    <mergeCell ref="N8:P8"/>
    <mergeCell ref="J7:P7"/>
    <mergeCell ref="A24:C24"/>
    <mergeCell ref="A10:B10"/>
    <mergeCell ref="A11:B11"/>
    <mergeCell ref="A20:B20"/>
    <mergeCell ref="A12:B12"/>
    <mergeCell ref="A13:B13"/>
    <mergeCell ref="A22:B22"/>
    <mergeCell ref="A18:B18"/>
    <mergeCell ref="A19:B19"/>
    <mergeCell ref="A21:B21"/>
    <mergeCell ref="A14:B14"/>
    <mergeCell ref="E33:E37"/>
    <mergeCell ref="G34:G37"/>
    <mergeCell ref="E2:G2"/>
    <mergeCell ref="F3:G3"/>
    <mergeCell ref="F4:G4"/>
    <mergeCell ref="F5:G5"/>
    <mergeCell ref="E18:G18"/>
    <mergeCell ref="E8:E16"/>
    <mergeCell ref="E7:H7"/>
    <mergeCell ref="G8:G13"/>
  </mergeCells>
  <dataValidations count="3">
    <dataValidation type="list" allowBlank="1" showInputMessage="1" showErrorMessage="1" sqref="B28" xr:uid="{3185BC14-F3D9-400C-8938-CA9E442DCF60}">
      <formula1>$F$8:$F$16</formula1>
    </dataValidation>
    <dataValidation type="list" allowBlank="1" showInputMessage="1" showErrorMessage="1" sqref="B29" xr:uid="{B13B6A4F-E6F4-4989-BC14-00E37DEB1FE1}">
      <formula1>$H$8:$H$13</formula1>
    </dataValidation>
    <dataValidation type="list" allowBlank="1" showInputMessage="1" showErrorMessage="1" sqref="B30" xr:uid="{44ED3F72-1F2C-46B5-9C35-EF3D69A12EEF}">
      <formula1>$F$28:$F$31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Edificio + Contenidos</vt:lpstr>
      <vt:lpstr>Solo Edificio</vt:lpstr>
      <vt:lpstr>Solo Contenidos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INVERSEGUROS</cp:lastModifiedBy>
  <dcterms:created xsi:type="dcterms:W3CDTF">2020-10-06T16:01:02Z</dcterms:created>
  <dcterms:modified xsi:type="dcterms:W3CDTF">2022-04-03T04:19:20Z</dcterms:modified>
</cp:coreProperties>
</file>