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. INVERSEGUROS GERENCIA\7- PROYECTOS COMERCIALES\24. BANCO BBVA\COTIZACIONES PRESENTADAS\SUPREN &amp; ANTAUEN\"/>
    </mc:Choice>
  </mc:AlternateContent>
  <xr:revisionPtr revIDLastSave="0" documentId="8_{7CC1D266-143B-41E9-9ED8-495957583401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Tasa" sheetId="3" r:id="rId1"/>
    <sheet name="Hoja1" sheetId="4" r:id="rId2"/>
  </sheets>
  <definedNames>
    <definedName name="_xlnm.Print_Area" localSheetId="0">Tasa!$A$1:$W$45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4" i="3" l="1"/>
  <c r="K27" i="3"/>
  <c r="J27" i="3"/>
  <c r="J26" i="3"/>
  <c r="J25" i="3"/>
  <c r="J24" i="3"/>
  <c r="J23" i="3"/>
  <c r="E17" i="3"/>
  <c r="D18" i="3"/>
  <c r="E18" i="3" s="1"/>
  <c r="D23" i="3"/>
  <c r="E23" i="3" s="1"/>
  <c r="E29" i="3"/>
  <c r="D30" i="3"/>
  <c r="E30" i="3" s="1"/>
  <c r="E35" i="3"/>
  <c r="E38" i="3"/>
  <c r="D39" i="3"/>
  <c r="E39" i="3" s="1"/>
  <c r="D40" i="3"/>
  <c r="E40" i="3" s="1"/>
  <c r="D41" i="3"/>
  <c r="E41" i="3" s="1"/>
  <c r="B27" i="3"/>
  <c r="E5" i="3"/>
  <c r="J42" i="3"/>
  <c r="J41" i="3"/>
  <c r="J40" i="3"/>
  <c r="J37" i="3"/>
  <c r="J36" i="3"/>
  <c r="B42" i="3"/>
  <c r="C41" i="3"/>
  <c r="A39" i="3"/>
  <c r="B36" i="3"/>
  <c r="D34" i="3"/>
  <c r="E34" i="3" s="1"/>
  <c r="E33" i="3"/>
  <c r="D32" i="3"/>
  <c r="E32" i="3" s="1"/>
  <c r="E31" i="3"/>
  <c r="A30" i="3"/>
  <c r="E26" i="3"/>
  <c r="E25" i="3"/>
  <c r="E24" i="3"/>
  <c r="A23" i="3"/>
  <c r="F21" i="3"/>
  <c r="H20" i="3"/>
  <c r="G20" i="3"/>
  <c r="B20" i="3"/>
  <c r="Q17" i="3" s="1"/>
  <c r="T19" i="3"/>
  <c r="H19" i="3"/>
  <c r="G19" i="3"/>
  <c r="H18" i="3"/>
  <c r="G18" i="3"/>
  <c r="A18" i="3"/>
  <c r="H17" i="3"/>
  <c r="G17" i="3"/>
  <c r="A17" i="3"/>
  <c r="H16" i="3"/>
  <c r="G16" i="3"/>
  <c r="D16" i="3"/>
  <c r="E16" i="3" s="1"/>
  <c r="A16" i="3"/>
  <c r="H15" i="3"/>
  <c r="G15" i="3"/>
  <c r="E15" i="3"/>
  <c r="A15" i="3"/>
  <c r="H14" i="3"/>
  <c r="G14" i="3"/>
  <c r="D14" i="3"/>
  <c r="A14" i="3"/>
  <c r="E13" i="3"/>
  <c r="A13" i="3"/>
  <c r="D12" i="3"/>
  <c r="E12" i="3" s="1"/>
  <c r="A12" i="3"/>
  <c r="E11" i="3"/>
  <c r="A11" i="3"/>
  <c r="J10" i="3"/>
  <c r="I10" i="3"/>
  <c r="D10" i="3"/>
  <c r="E10" i="3" s="1"/>
  <c r="A10" i="3"/>
  <c r="A34" i="3" s="1"/>
  <c r="J9" i="3"/>
  <c r="I9" i="3"/>
  <c r="E9" i="3"/>
  <c r="A9" i="3"/>
  <c r="J8" i="3"/>
  <c r="I8" i="3"/>
  <c r="D8" i="3"/>
  <c r="E8" i="3" s="1"/>
  <c r="A8" i="3"/>
  <c r="A32" i="3" s="1"/>
  <c r="J7" i="3"/>
  <c r="I7" i="3"/>
  <c r="E7" i="3"/>
  <c r="A7" i="3"/>
  <c r="J6" i="3"/>
  <c r="I6" i="3"/>
  <c r="D6" i="3"/>
  <c r="E6" i="3" s="1"/>
  <c r="J5" i="3"/>
  <c r="I5" i="3"/>
  <c r="A5" i="3"/>
  <c r="J4" i="3"/>
  <c r="I4" i="3"/>
  <c r="H3" i="3"/>
  <c r="H9" i="3" s="1"/>
  <c r="E22" i="3"/>
  <c r="Q18" i="3" l="1"/>
  <c r="R18" i="3" s="1"/>
  <c r="H4" i="3"/>
  <c r="H10" i="3"/>
  <c r="H5" i="3"/>
  <c r="H7" i="3"/>
  <c r="H8" i="3"/>
  <c r="G21" i="3"/>
  <c r="G22" i="3" s="1"/>
  <c r="H6" i="3"/>
  <c r="R17" i="3"/>
  <c r="E42" i="3"/>
  <c r="D42" i="3" s="1"/>
  <c r="E36" i="3"/>
  <c r="D36" i="3" s="1"/>
  <c r="E27" i="3"/>
  <c r="D27" i="3" s="1"/>
  <c r="Q22" i="3"/>
  <c r="R22" i="3" s="1"/>
  <c r="Q23" i="3"/>
  <c r="R23" i="3" s="1"/>
  <c r="Q20" i="3"/>
  <c r="R20" i="3" s="1"/>
  <c r="Q25" i="3"/>
  <c r="R25" i="3" s="1"/>
  <c r="Q21" i="3"/>
  <c r="R21" i="3" s="1"/>
  <c r="Q24" i="3"/>
  <c r="R24" i="3" s="1"/>
  <c r="Q16" i="3"/>
  <c r="R16" i="3" s="1"/>
  <c r="B43" i="3"/>
  <c r="Q19" i="3"/>
  <c r="R19" i="3" s="1"/>
  <c r="Q13" i="3"/>
  <c r="R13" i="3" s="1"/>
  <c r="Q14" i="3"/>
  <c r="R14" i="3" s="1"/>
  <c r="Q15" i="3"/>
  <c r="R15" i="3" s="1"/>
  <c r="Q12" i="3"/>
  <c r="R12" i="3" s="1"/>
  <c r="G33" i="3" l="1"/>
  <c r="R26" i="3"/>
  <c r="D19" i="3" s="1"/>
  <c r="E19" i="3" s="1"/>
  <c r="E20" i="3" s="1"/>
  <c r="E45" i="3" l="1"/>
  <c r="D20" i="3"/>
  <c r="E43" i="3"/>
  <c r="D43" i="3" s="1"/>
  <c r="I33" i="3" l="1"/>
  <c r="J33" i="3" s="1"/>
  <c r="J43" i="3" s="1"/>
  <c r="G12" i="3"/>
  <c r="D45" i="3"/>
</calcChain>
</file>

<file path=xl/sharedStrings.xml><?xml version="1.0" encoding="utf-8"?>
<sst xmlns="http://schemas.openxmlformats.org/spreadsheetml/2006/main" count="69" uniqueCount="62">
  <si>
    <t>TASA</t>
  </si>
  <si>
    <t>PRIMA</t>
  </si>
  <si>
    <t>INCENDIO</t>
  </si>
  <si>
    <t>CALCULO DE TASA GLOBAL PYME</t>
  </si>
  <si>
    <t>MODULO</t>
  </si>
  <si>
    <t>VR. ASEGURABLE</t>
  </si>
  <si>
    <t>VR. ASEGURADO</t>
  </si>
  <si>
    <t>Seguro al 100%</t>
  </si>
  <si>
    <t>Subtotal</t>
  </si>
  <si>
    <t xml:space="preserve">TASA PROMEDIO =&gt; </t>
  </si>
  <si>
    <t>Comisión Promedio PyME</t>
  </si>
  <si>
    <t>SUSTRACCION CON VIOLENCIA</t>
  </si>
  <si>
    <t>Dineros y títulos valores</t>
  </si>
  <si>
    <t>ROTURA DE MAQUINARIA</t>
  </si>
  <si>
    <t>LUCRO CESANTE POR ROTURA</t>
  </si>
  <si>
    <t>Antioquia y Choco</t>
  </si>
  <si>
    <t>PROPUESTA BBVA</t>
  </si>
  <si>
    <t>COBERTURA</t>
  </si>
  <si>
    <t xml:space="preserve"> TASA </t>
  </si>
  <si>
    <t>TRDM</t>
  </si>
  <si>
    <t>RCE</t>
  </si>
  <si>
    <t>MNJ</t>
  </si>
  <si>
    <t>TOTAL</t>
  </si>
  <si>
    <t>Bienes refrigerados</t>
  </si>
  <si>
    <t>Caldas, Quindio y Risaralda</t>
  </si>
  <si>
    <t xml:space="preserve"> - Equipos de Comunicación</t>
  </si>
  <si>
    <t xml:space="preserve">AMIT </t>
  </si>
  <si>
    <t>DISTRIBUCCION TASAS</t>
  </si>
  <si>
    <t>INCENDIO, TERREMOTO Y AMIT</t>
  </si>
  <si>
    <t>Cundinamarca</t>
  </si>
  <si>
    <t>Putumayo, Caqueta, Meta Casanare, Vichada, Guainia, Vuapes, Amazonas</t>
  </si>
  <si>
    <t>Boyaca, Santanderes, Cesar, Arauca y Guajira</t>
  </si>
  <si>
    <t>Magdalena, Bolivar, Atlantico, Sucre, Cordoba, Guajira, San Andres Islas</t>
  </si>
  <si>
    <t>Valle del Cauca, Huila, Cauca, Tolima y Nariño</t>
  </si>
  <si>
    <t>Lucro cesante por incendio, Terremoto y Amit</t>
  </si>
  <si>
    <t>Todo Riesgo sustraccion</t>
  </si>
  <si>
    <t>Mercancías Flotantes</t>
  </si>
  <si>
    <t xml:space="preserve"> - Equipos Medicos, de diagnostico y/o laboratorio</t>
  </si>
  <si>
    <t>Equipos electricos y electronicos</t>
  </si>
  <si>
    <t xml:space="preserve">TOTAL VALOR ASEGURABLE </t>
  </si>
  <si>
    <t>CORRIENTE DEBIL</t>
  </si>
  <si>
    <t>Maquinaria y equipo</t>
  </si>
  <si>
    <t>LUCRO 10%</t>
  </si>
  <si>
    <t>GASTOS 10%</t>
  </si>
  <si>
    <t>TRA IMP Y EXP</t>
  </si>
  <si>
    <t>TRA NACIONAL</t>
  </si>
  <si>
    <t>TRA URBANO</t>
  </si>
  <si>
    <t>TRA VALORES</t>
  </si>
  <si>
    <t>TASA PROMEDIO</t>
  </si>
  <si>
    <t>TASA PROMEDIO FLOTANTES</t>
  </si>
  <si>
    <t>Sustraccion con violencia</t>
  </si>
  <si>
    <t>Lucro a 3 Meses</t>
  </si>
  <si>
    <t>Lucro a 6 Meses</t>
  </si>
  <si>
    <t>Lucro a 12 Meses</t>
  </si>
  <si>
    <t>Lucro a 9 Meses</t>
  </si>
  <si>
    <t>TERREM</t>
  </si>
  <si>
    <t>RCE Hotelera</t>
  </si>
  <si>
    <t xml:space="preserve"> - Equipo Móvil y Especializado</t>
  </si>
  <si>
    <t>Ind. Variable 10% anual</t>
  </si>
  <si>
    <t>SUPREN ANTAUEN</t>
  </si>
  <si>
    <t>Seguro al 100% maximo hasta el 30% del valor asegurable de contenidos por evento/vigencia</t>
  </si>
  <si>
    <t>Seguro al 100% maximo hasta la suma de $20 mill. Evento y $I00 Vig.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</si>
</sst>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$&quot;\ #,##0_);[Red]\(&quot;$&quot;\ #,##0\)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-* #,##0\ &quot;€&quot;_-;\-* #,##0\ &quot;€&quot;_-;_-* &quot;-&quot;\ &quot;€&quot;_-;_-@_-"/>
    <numFmt numFmtId="169" formatCode="_-* #,##0\ _€_-;\-* #,##0\ _€_-;_-* &quot;-&quot;\ _€_-;_-@_-"/>
    <numFmt numFmtId="170" formatCode="_-* #,##0.00\ _€_-;\-* #,##0.00\ _€_-;_-* &quot;-&quot;??\ _€_-;_-@_-"/>
    <numFmt numFmtId="171" formatCode="_ * #,##0.00_ ;_ * \-#,##0.00_ ;_ * &quot;-&quot;??_ ;_ @_ "/>
    <numFmt numFmtId="172" formatCode="_(&quot;$&quot;* #,##0.00_);_(&quot;$&quot;* \(#,##0.00\);_(&quot;$&quot;* &quot;-&quot;??_);_(@_)"/>
    <numFmt numFmtId="173" formatCode="_(* #,##0_);_(* \(#,##0\);_(* &quot;-&quot;??_);_(@_)"/>
    <numFmt numFmtId="174" formatCode="_(* #,##0.000_);_(* \(#,##0.000\);_(* &quot;-&quot;??_);_(@_)"/>
    <numFmt numFmtId="175" formatCode="_ * #,##0.000_ ;_ * \-#,##0.000_ ;_ * &quot;-&quot;???_ ;_ @_ "/>
    <numFmt numFmtId="176" formatCode="_ * #,##0.000_ ;_ * \-#,##0.000_ ;_ * &quot;-&quot;??_ ;_ @_ "/>
    <numFmt numFmtId="177" formatCode="_ * #,##0.00_ ;_ * \-#,##0.00_ ;_ * &quot;-&quot;_ ;_ @_ "/>
    <numFmt numFmtId="178" formatCode="_([$$-240A]\ * #,##0_);_([$$-240A]\ * \(#,##0\);_([$$-240A]\ * &quot;-&quot;??_);_(@_)"/>
    <numFmt numFmtId="179" formatCode="_-* #,##0.0000\ _€_-;\-* #,##0.0000\ _€_-;_-* &quot;-&quot;\ _€_-;_-@_-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7" fontId="2" fillId="0" borderId="0" applyFont="0" applyFill="0" applyBorder="0" applyAlignment="0" applyProtection="0"/>
    <xf numFmtId="169" fontId="8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vertical="center"/>
    </xf>
    <xf numFmtId="175" fontId="0" fillId="0" borderId="0" xfId="0" applyNumberFormat="1"/>
    <xf numFmtId="171" fontId="0" fillId="0" borderId="0" xfId="0" applyNumberFormat="1"/>
    <xf numFmtId="171" fontId="0" fillId="0" borderId="0" xfId="0" applyNumberFormat="1" applyAlignment="1">
      <alignment vertical="center"/>
    </xf>
    <xf numFmtId="175" fontId="0" fillId="0" borderId="0" xfId="0" applyNumberFormat="1" applyAlignment="1">
      <alignment vertical="center"/>
    </xf>
    <xf numFmtId="10" fontId="13" fillId="5" borderId="1" xfId="6" applyNumberFormat="1" applyFont="1" applyFill="1" applyBorder="1" applyProtection="1"/>
    <xf numFmtId="10" fontId="13" fillId="5" borderId="2" xfId="6" applyNumberFormat="1" applyFont="1" applyFill="1" applyBorder="1" applyProtection="1"/>
    <xf numFmtId="179" fontId="2" fillId="0" borderId="3" xfId="2" applyNumberFormat="1" applyFont="1" applyBorder="1" applyProtection="1"/>
    <xf numFmtId="179" fontId="2" fillId="0" borderId="4" xfId="2" applyNumberFormat="1" applyFont="1" applyBorder="1" applyProtection="1"/>
    <xf numFmtId="0" fontId="3" fillId="6" borderId="5" xfId="0" applyFont="1" applyFill="1" applyBorder="1" applyAlignment="1">
      <alignment vertical="center"/>
    </xf>
    <xf numFmtId="178" fontId="2" fillId="6" borderId="6" xfId="1" applyNumberFormat="1" applyFont="1" applyFill="1" applyBorder="1" applyAlignment="1">
      <alignment vertical="center"/>
    </xf>
    <xf numFmtId="173" fontId="2" fillId="6" borderId="6" xfId="1" applyNumberFormat="1" applyFont="1" applyFill="1" applyBorder="1" applyAlignment="1">
      <alignment horizontal="center" vertical="center"/>
    </xf>
    <xf numFmtId="174" fontId="2" fillId="6" borderId="6" xfId="1" applyNumberFormat="1" applyFont="1" applyFill="1" applyBorder="1" applyAlignment="1">
      <alignment vertical="center"/>
    </xf>
    <xf numFmtId="178" fontId="2" fillId="6" borderId="7" xfId="4" applyNumberFormat="1" applyFont="1" applyFill="1" applyBorder="1" applyAlignment="1">
      <alignment vertical="center"/>
    </xf>
    <xf numFmtId="179" fontId="2" fillId="0" borderId="8" xfId="2" applyNumberFormat="1" applyFont="1" applyBorder="1" applyAlignment="1" applyProtection="1">
      <alignment vertical="center"/>
    </xf>
    <xf numFmtId="179" fontId="2" fillId="0" borderId="9" xfId="2" applyNumberFormat="1" applyFont="1" applyBorder="1" applyAlignment="1" applyProtection="1">
      <alignment vertical="center"/>
    </xf>
    <xf numFmtId="9" fontId="0" fillId="0" borderId="0" xfId="0" applyNumberFormat="1" applyAlignment="1">
      <alignment vertical="center"/>
    </xf>
    <xf numFmtId="0" fontId="2" fillId="6" borderId="10" xfId="0" applyFont="1" applyFill="1" applyBorder="1" applyAlignment="1">
      <alignment vertical="center"/>
    </xf>
    <xf numFmtId="178" fontId="2" fillId="6" borderId="11" xfId="1" applyNumberFormat="1" applyFont="1" applyFill="1" applyBorder="1" applyAlignment="1">
      <alignment vertical="center"/>
    </xf>
    <xf numFmtId="173" fontId="2" fillId="6" borderId="11" xfId="1" applyNumberFormat="1" applyFont="1" applyFill="1" applyBorder="1" applyAlignment="1">
      <alignment horizontal="center" vertical="center"/>
    </xf>
    <xf numFmtId="174" fontId="2" fillId="6" borderId="11" xfId="1" applyNumberFormat="1" applyFill="1" applyBorder="1" applyAlignment="1">
      <alignment vertical="center"/>
    </xf>
    <xf numFmtId="178" fontId="2" fillId="6" borderId="12" xfId="4" applyNumberFormat="1" applyFont="1" applyFill="1" applyBorder="1" applyAlignment="1">
      <alignment vertical="center"/>
    </xf>
    <xf numFmtId="171" fontId="3" fillId="6" borderId="10" xfId="0" applyNumberFormat="1" applyFont="1" applyFill="1" applyBorder="1" applyAlignment="1">
      <alignment vertical="center"/>
    </xf>
    <xf numFmtId="174" fontId="2" fillId="6" borderId="11" xfId="1" applyNumberFormat="1" applyFont="1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176" fontId="3" fillId="6" borderId="10" xfId="0" applyNumberFormat="1" applyFont="1" applyFill="1" applyBorder="1" applyAlignment="1">
      <alignment vertical="center"/>
    </xf>
    <xf numFmtId="173" fontId="3" fillId="6" borderId="11" xfId="1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vertical="center"/>
    </xf>
    <xf numFmtId="179" fontId="2" fillId="0" borderId="13" xfId="2" applyNumberFormat="1" applyFont="1" applyBorder="1" applyAlignment="1" applyProtection="1">
      <alignment vertical="center"/>
    </xf>
    <xf numFmtId="179" fontId="2" fillId="0" borderId="14" xfId="2" applyNumberFormat="1" applyFont="1" applyBorder="1" applyAlignment="1" applyProtection="1">
      <alignment vertical="center"/>
    </xf>
    <xf numFmtId="176" fontId="6" fillId="2" borderId="0" xfId="0" applyNumberFormat="1" applyFont="1" applyFill="1" applyAlignment="1">
      <alignment vertical="center"/>
    </xf>
    <xf numFmtId="0" fontId="0" fillId="0" borderId="0" xfId="0" applyNumberFormat="1" applyAlignment="1">
      <alignment vertical="center"/>
    </xf>
    <xf numFmtId="178" fontId="2" fillId="6" borderId="11" xfId="4" applyNumberFormat="1" applyFont="1" applyFill="1" applyBorder="1" applyAlignment="1">
      <alignment vertical="center"/>
    </xf>
    <xf numFmtId="10" fontId="0" fillId="0" borderId="0" xfId="6" applyNumberFormat="1" applyFont="1" applyAlignment="1">
      <alignment vertical="center"/>
    </xf>
    <xf numFmtId="167" fontId="0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6" borderId="15" xfId="0" applyFont="1" applyFill="1" applyBorder="1" applyAlignment="1">
      <alignment vertical="center"/>
    </xf>
    <xf numFmtId="178" fontId="2" fillId="6" borderId="16" xfId="1" applyNumberFormat="1" applyFont="1" applyFill="1" applyBorder="1" applyAlignment="1">
      <alignment vertical="center"/>
    </xf>
    <xf numFmtId="173" fontId="2" fillId="6" borderId="16" xfId="1" applyNumberFormat="1" applyFont="1" applyFill="1" applyBorder="1" applyAlignment="1">
      <alignment horizontal="center" vertical="center"/>
    </xf>
    <xf numFmtId="174" fontId="2" fillId="6" borderId="16" xfId="1" applyNumberFormat="1" applyFont="1" applyFill="1" applyBorder="1" applyAlignment="1">
      <alignment vertical="center"/>
    </xf>
    <xf numFmtId="178" fontId="2" fillId="6" borderId="16" xfId="4" applyNumberFormat="1" applyFont="1" applyFill="1" applyBorder="1" applyAlignment="1">
      <alignment vertical="center"/>
    </xf>
    <xf numFmtId="0" fontId="3" fillId="6" borderId="15" xfId="0" applyFont="1" applyFill="1" applyBorder="1" applyAlignment="1">
      <alignment vertical="center"/>
    </xf>
    <xf numFmtId="0" fontId="3" fillId="7" borderId="17" xfId="0" applyFont="1" applyFill="1" applyBorder="1" applyAlignment="1">
      <alignment vertical="center"/>
    </xf>
    <xf numFmtId="178" fontId="1" fillId="7" borderId="18" xfId="1" applyNumberFormat="1" applyFont="1" applyFill="1" applyBorder="1" applyAlignment="1">
      <alignment vertical="center"/>
    </xf>
    <xf numFmtId="173" fontId="2" fillId="7" borderId="18" xfId="1" applyNumberFormat="1" applyFill="1" applyBorder="1" applyAlignment="1">
      <alignment vertical="center"/>
    </xf>
    <xf numFmtId="174" fontId="1" fillId="7" borderId="18" xfId="1" applyNumberFormat="1" applyFont="1" applyFill="1" applyBorder="1" applyAlignment="1">
      <alignment vertical="center"/>
    </xf>
    <xf numFmtId="178" fontId="1" fillId="7" borderId="18" xfId="4" applyNumberFormat="1" applyFont="1" applyFill="1" applyBorder="1" applyAlignment="1">
      <alignment vertical="center"/>
    </xf>
    <xf numFmtId="170" fontId="0" fillId="0" borderId="0" xfId="0" applyNumberFormat="1" applyAlignment="1">
      <alignment vertical="center"/>
    </xf>
    <xf numFmtId="164" fontId="2" fillId="0" borderId="0" xfId="0" applyNumberFormat="1" applyFont="1" applyAlignment="1">
      <alignment vertical="center"/>
    </xf>
    <xf numFmtId="178" fontId="1" fillId="7" borderId="19" xfId="4" applyNumberFormat="1" applyFont="1" applyFill="1" applyBorder="1" applyAlignment="1">
      <alignment vertical="center"/>
    </xf>
    <xf numFmtId="171" fontId="7" fillId="2" borderId="8" xfId="0" applyNumberFormat="1" applyFont="1" applyFill="1" applyBorder="1" applyAlignment="1">
      <alignment horizontal="right" vertical="center"/>
    </xf>
    <xf numFmtId="0" fontId="3" fillId="7" borderId="20" xfId="0" applyFont="1" applyFill="1" applyBorder="1" applyAlignment="1">
      <alignment vertical="center"/>
    </xf>
    <xf numFmtId="178" fontId="3" fillId="7" borderId="21" xfId="1" applyNumberFormat="1" applyFont="1" applyFill="1" applyBorder="1" applyAlignment="1">
      <alignment vertical="center"/>
    </xf>
    <xf numFmtId="173" fontId="3" fillId="7" borderId="21" xfId="1" applyNumberFormat="1" applyFont="1" applyFill="1" applyBorder="1" applyAlignment="1">
      <alignment horizontal="center" vertical="center"/>
    </xf>
    <xf numFmtId="174" fontId="3" fillId="7" borderId="21" xfId="1" applyNumberFormat="1" applyFont="1" applyFill="1" applyBorder="1" applyAlignment="1">
      <alignment vertical="center"/>
    </xf>
    <xf numFmtId="178" fontId="1" fillId="7" borderId="21" xfId="4" applyNumberFormat="1" applyFont="1" applyFill="1" applyBorder="1" applyAlignment="1">
      <alignment vertical="center"/>
    </xf>
    <xf numFmtId="178" fontId="3" fillId="7" borderId="21" xfId="4" applyNumberFormat="1" applyFont="1" applyFill="1" applyBorder="1" applyAlignment="1">
      <alignment vertical="center"/>
    </xf>
    <xf numFmtId="0" fontId="14" fillId="8" borderId="22" xfId="0" applyFont="1" applyFill="1" applyBorder="1" applyAlignment="1">
      <alignment horizontal="right" vertical="center"/>
    </xf>
    <xf numFmtId="178" fontId="14" fillId="8" borderId="23" xfId="0" applyNumberFormat="1" applyFont="1" applyFill="1" applyBorder="1" applyAlignment="1">
      <alignment vertical="center"/>
    </xf>
    <xf numFmtId="173" fontId="14" fillId="8" borderId="23" xfId="0" applyNumberFormat="1" applyFont="1" applyFill="1" applyBorder="1" applyAlignment="1">
      <alignment horizontal="right" vertical="center"/>
    </xf>
    <xf numFmtId="174" fontId="14" fillId="8" borderId="23" xfId="1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4" fontId="2" fillId="0" borderId="0" xfId="1" applyNumberFormat="1" applyBorder="1" applyAlignment="1">
      <alignment vertical="center"/>
    </xf>
    <xf numFmtId="178" fontId="0" fillId="0" borderId="0" xfId="4" applyNumberFormat="1" applyFont="1" applyBorder="1" applyAlignment="1">
      <alignment vertical="center"/>
    </xf>
    <xf numFmtId="168" fontId="0" fillId="0" borderId="0" xfId="4" applyFont="1" applyAlignment="1">
      <alignment vertical="center"/>
    </xf>
    <xf numFmtId="178" fontId="4" fillId="0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10" fontId="5" fillId="4" borderId="24" xfId="6" applyNumberFormat="1" applyFont="1" applyFill="1" applyBorder="1" applyAlignment="1">
      <alignment vertical="center"/>
    </xf>
    <xf numFmtId="178" fontId="3" fillId="3" borderId="0" xfId="4" applyNumberFormat="1" applyFont="1" applyFill="1" applyAlignment="1">
      <alignment vertical="center"/>
    </xf>
    <xf numFmtId="174" fontId="2" fillId="0" borderId="0" xfId="1" applyNumberFormat="1" applyAlignment="1">
      <alignment vertical="center"/>
    </xf>
    <xf numFmtId="178" fontId="0" fillId="0" borderId="0" xfId="4" applyNumberFormat="1" applyFont="1" applyAlignment="1">
      <alignment vertical="center"/>
    </xf>
    <xf numFmtId="178" fontId="0" fillId="0" borderId="0" xfId="0" applyNumberFormat="1" applyAlignment="1">
      <alignment vertical="center"/>
    </xf>
    <xf numFmtId="178" fontId="14" fillId="8" borderId="23" xfId="4" applyNumberFormat="1" applyFont="1" applyFill="1" applyBorder="1" applyAlignment="1">
      <alignment vertical="center"/>
    </xf>
    <xf numFmtId="173" fontId="3" fillId="7" borderId="25" xfId="0" applyNumberFormat="1" applyFont="1" applyFill="1" applyBorder="1" applyAlignment="1">
      <alignment vertical="center"/>
    </xf>
    <xf numFmtId="177" fontId="3" fillId="7" borderId="4" xfId="0" applyNumberFormat="1" applyFont="1" applyFill="1" applyBorder="1" applyAlignment="1">
      <alignment vertical="center"/>
    </xf>
    <xf numFmtId="178" fontId="0" fillId="0" borderId="26" xfId="4" applyNumberFormat="1" applyFont="1" applyBorder="1" applyAlignment="1">
      <alignment vertical="center"/>
    </xf>
    <xf numFmtId="178" fontId="0" fillId="0" borderId="9" xfId="4" applyNumberFormat="1" applyFont="1" applyBorder="1" applyAlignment="1">
      <alignment vertical="center"/>
    </xf>
    <xf numFmtId="178" fontId="2" fillId="0" borderId="26" xfId="4" applyNumberFormat="1" applyFont="1" applyBorder="1" applyAlignment="1">
      <alignment vertical="center"/>
    </xf>
    <xf numFmtId="0" fontId="0" fillId="7" borderId="27" xfId="0" applyFill="1" applyBorder="1" applyAlignment="1">
      <alignment vertical="center"/>
    </xf>
    <xf numFmtId="2" fontId="3" fillId="7" borderId="14" xfId="0" applyNumberFormat="1" applyFont="1" applyFill="1" applyBorder="1" applyAlignment="1">
      <alignment vertical="center"/>
    </xf>
    <xf numFmtId="178" fontId="2" fillId="6" borderId="6" xfId="4" applyNumberFormat="1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26" xfId="0" applyFont="1" applyFill="1" applyBorder="1" applyAlignment="1">
      <alignment vertical="center"/>
    </xf>
    <xf numFmtId="0" fontId="10" fillId="0" borderId="28" xfId="0" applyFont="1" applyBorder="1" applyAlignment="1" applyProtection="1">
      <alignment horizontal="center"/>
    </xf>
    <xf numFmtId="0" fontId="10" fillId="0" borderId="29" xfId="0" applyFont="1" applyBorder="1" applyAlignment="1" applyProtection="1">
      <alignment horizontal="center"/>
    </xf>
    <xf numFmtId="0" fontId="1" fillId="9" borderId="30" xfId="0" applyFont="1" applyFill="1" applyBorder="1" applyAlignment="1">
      <alignment vertical="center"/>
    </xf>
    <xf numFmtId="165" fontId="1" fillId="9" borderId="31" xfId="4" applyNumberFormat="1" applyFont="1" applyFill="1" applyBorder="1" applyAlignment="1">
      <alignment horizontal="center" vertical="center"/>
    </xf>
    <xf numFmtId="0" fontId="1" fillId="9" borderId="31" xfId="0" applyFont="1" applyFill="1" applyBorder="1" applyAlignment="1">
      <alignment horizontal="center" vertical="center"/>
    </xf>
    <xf numFmtId="174" fontId="1" fillId="9" borderId="31" xfId="1" applyNumberFormat="1" applyFont="1" applyFill="1" applyBorder="1" applyAlignment="1">
      <alignment horizontal="center" vertical="center"/>
    </xf>
    <xf numFmtId="165" fontId="1" fillId="9" borderId="32" xfId="4" applyNumberFormat="1" applyFont="1" applyFill="1" applyBorder="1" applyAlignment="1">
      <alignment horizontal="center" vertical="center"/>
    </xf>
    <xf numFmtId="10" fontId="13" fillId="5" borderId="33" xfId="6" applyNumberFormat="1" applyFont="1" applyFill="1" applyBorder="1" applyProtection="1"/>
    <xf numFmtId="165" fontId="0" fillId="0" borderId="0" xfId="4" applyNumberFormat="1" applyFont="1"/>
    <xf numFmtId="0" fontId="2" fillId="9" borderId="5" xfId="0" applyFont="1" applyFill="1" applyBorder="1" applyAlignment="1">
      <alignment vertical="center"/>
    </xf>
    <xf numFmtId="178" fontId="2" fillId="9" borderId="6" xfId="1" applyNumberFormat="1" applyFont="1" applyFill="1" applyBorder="1" applyAlignment="1">
      <alignment vertical="center"/>
    </xf>
    <xf numFmtId="173" fontId="2" fillId="9" borderId="6" xfId="1" applyNumberFormat="1" applyFont="1" applyFill="1" applyBorder="1" applyAlignment="1">
      <alignment horizontal="center" vertical="center"/>
    </xf>
    <xf numFmtId="178" fontId="2" fillId="9" borderId="6" xfId="4" applyNumberFormat="1" applyFont="1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178" fontId="2" fillId="9" borderId="11" xfId="1" applyNumberFormat="1" applyFont="1" applyFill="1" applyBorder="1" applyAlignment="1">
      <alignment vertical="center"/>
    </xf>
    <xf numFmtId="173" fontId="3" fillId="9" borderId="11" xfId="1" applyNumberFormat="1" applyFont="1" applyFill="1" applyBorder="1" applyAlignment="1">
      <alignment horizontal="center" vertical="center"/>
    </xf>
    <xf numFmtId="174" fontId="2" fillId="9" borderId="11" xfId="1" applyNumberFormat="1" applyFont="1" applyFill="1" applyBorder="1" applyAlignment="1">
      <alignment vertical="center"/>
    </xf>
    <xf numFmtId="178" fontId="2" fillId="9" borderId="12" xfId="4" applyNumberFormat="1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0" fillId="9" borderId="15" xfId="0" applyNumberFormat="1" applyFill="1" applyBorder="1" applyAlignment="1">
      <alignment vertical="center"/>
    </xf>
    <xf numFmtId="178" fontId="2" fillId="9" borderId="16" xfId="1" applyNumberFormat="1" applyFont="1" applyFill="1" applyBorder="1" applyAlignment="1">
      <alignment vertical="center"/>
    </xf>
    <xf numFmtId="173" fontId="3" fillId="9" borderId="16" xfId="1" applyNumberFormat="1" applyFont="1" applyFill="1" applyBorder="1" applyAlignment="1">
      <alignment horizontal="center" vertical="center"/>
    </xf>
    <xf numFmtId="174" fontId="2" fillId="9" borderId="16" xfId="1" applyNumberFormat="1" applyFont="1" applyFill="1" applyBorder="1" applyAlignment="1">
      <alignment vertical="center"/>
    </xf>
    <xf numFmtId="178" fontId="2" fillId="9" borderId="34" xfId="4" applyNumberFormat="1" applyFont="1" applyFill="1" applyBorder="1" applyAlignment="1">
      <alignment vertical="center"/>
    </xf>
    <xf numFmtId="0" fontId="2" fillId="9" borderId="35" xfId="0" applyNumberFormat="1" applyFont="1" applyFill="1" applyBorder="1" applyAlignment="1">
      <alignment vertical="center"/>
    </xf>
    <xf numFmtId="178" fontId="2" fillId="9" borderId="36" xfId="1" applyNumberFormat="1" applyFont="1" applyFill="1" applyBorder="1" applyAlignment="1">
      <alignment vertical="center"/>
    </xf>
    <xf numFmtId="173" fontId="3" fillId="9" borderId="36" xfId="1" applyNumberFormat="1" applyFont="1" applyFill="1" applyBorder="1" applyAlignment="1">
      <alignment horizontal="center" vertical="center"/>
    </xf>
    <xf numFmtId="174" fontId="2" fillId="9" borderId="36" xfId="1" applyNumberFormat="1" applyFont="1" applyFill="1" applyBorder="1" applyAlignment="1">
      <alignment vertical="center"/>
    </xf>
    <xf numFmtId="178" fontId="2" fillId="9" borderId="37" xfId="4" applyNumberFormat="1" applyFont="1" applyFill="1" applyBorder="1" applyAlignment="1">
      <alignment vertical="center"/>
    </xf>
    <xf numFmtId="0" fontId="2" fillId="6" borderId="5" xfId="0" applyFont="1" applyFill="1" applyBorder="1" applyAlignment="1">
      <alignment vertical="center"/>
    </xf>
    <xf numFmtId="173" fontId="3" fillId="6" borderId="11" xfId="1" quotePrefix="1" applyNumberFormat="1" applyFont="1" applyFill="1" applyBorder="1" applyAlignment="1">
      <alignment horizontal="center" vertical="center"/>
    </xf>
    <xf numFmtId="0" fontId="2" fillId="6" borderId="10" xfId="0" quotePrefix="1" applyFont="1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173" fontId="3" fillId="6" borderId="16" xfId="1" quotePrefix="1" applyNumberFormat="1" applyFont="1" applyFill="1" applyBorder="1" applyAlignment="1">
      <alignment horizontal="center" vertical="center"/>
    </xf>
    <xf numFmtId="178" fontId="2" fillId="6" borderId="0" xfId="4" applyNumberFormat="1" applyFont="1" applyFill="1" applyBorder="1" applyAlignment="1">
      <alignment vertical="center"/>
    </xf>
    <xf numFmtId="0" fontId="0" fillId="6" borderId="35" xfId="0" quotePrefix="1" applyFill="1" applyBorder="1" applyAlignment="1">
      <alignment vertical="center"/>
    </xf>
    <xf numFmtId="178" fontId="2" fillId="6" borderId="36" xfId="1" applyNumberFormat="1" applyFont="1" applyFill="1" applyBorder="1" applyAlignment="1">
      <alignment vertical="center"/>
    </xf>
    <xf numFmtId="174" fontId="2" fillId="6" borderId="36" xfId="1" applyNumberFormat="1" applyFont="1" applyFill="1" applyBorder="1" applyAlignment="1">
      <alignment vertical="center"/>
    </xf>
    <xf numFmtId="178" fontId="2" fillId="6" borderId="36" xfId="4" applyNumberFormat="1" applyFont="1" applyFill="1" applyBorder="1" applyAlignment="1">
      <alignment vertical="center"/>
    </xf>
    <xf numFmtId="173" fontId="2" fillId="9" borderId="11" xfId="1" applyNumberFormat="1" applyFont="1" applyFill="1" applyBorder="1" applyAlignment="1">
      <alignment horizontal="center" vertical="center"/>
    </xf>
    <xf numFmtId="178" fontId="2" fillId="9" borderId="11" xfId="4" applyNumberFormat="1" applyFont="1" applyFill="1" applyBorder="1" applyAlignment="1">
      <alignment vertical="center"/>
    </xf>
    <xf numFmtId="0" fontId="0" fillId="9" borderId="38" xfId="0" applyFill="1" applyBorder="1" applyAlignment="1">
      <alignment vertical="center"/>
    </xf>
    <xf numFmtId="178" fontId="2" fillId="9" borderId="39" xfId="1" applyNumberFormat="1" applyFill="1" applyBorder="1" applyAlignment="1">
      <alignment vertical="center"/>
    </xf>
    <xf numFmtId="173" fontId="2" fillId="9" borderId="39" xfId="1" applyNumberFormat="1" applyFont="1" applyFill="1" applyBorder="1" applyAlignment="1">
      <alignment horizontal="center" vertical="center"/>
    </xf>
    <xf numFmtId="174" fontId="2" fillId="9" borderId="39" xfId="1" applyNumberFormat="1" applyFont="1" applyFill="1" applyBorder="1" applyAlignment="1">
      <alignment vertical="center"/>
    </xf>
    <xf numFmtId="178" fontId="2" fillId="9" borderId="39" xfId="4" applyNumberFormat="1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179" fontId="2" fillId="0" borderId="40" xfId="2" applyNumberFormat="1" applyFont="1" applyBorder="1" applyProtection="1"/>
    <xf numFmtId="173" fontId="0" fillId="0" borderId="0" xfId="1" applyNumberFormat="1" applyFont="1" applyAlignment="1">
      <alignment vertical="center"/>
    </xf>
    <xf numFmtId="174" fontId="2" fillId="11" borderId="6" xfId="1" applyNumberFormat="1" applyFont="1" applyFill="1" applyBorder="1" applyAlignment="1">
      <alignment vertical="center"/>
    </xf>
    <xf numFmtId="174" fontId="4" fillId="11" borderId="6" xfId="1" applyNumberFormat="1" applyFont="1" applyFill="1" applyBorder="1" applyAlignment="1">
      <alignment vertical="center"/>
    </xf>
    <xf numFmtId="173" fontId="1" fillId="6" borderId="36" xfId="1" quotePrefix="1" applyNumberFormat="1" applyFont="1" applyFill="1" applyBorder="1" applyAlignment="1">
      <alignment horizontal="center" vertical="center"/>
    </xf>
    <xf numFmtId="0" fontId="9" fillId="0" borderId="46" xfId="0" applyFont="1" applyBorder="1" applyAlignment="1" applyProtection="1">
      <alignment horizontal="left" vertical="center"/>
    </xf>
    <xf numFmtId="0" fontId="9" fillId="0" borderId="47" xfId="0" applyFont="1" applyBorder="1" applyAlignment="1" applyProtection="1">
      <alignment horizontal="left" vertical="center"/>
    </xf>
    <xf numFmtId="0" fontId="15" fillId="10" borderId="30" xfId="0" applyFont="1" applyFill="1" applyBorder="1" applyAlignment="1">
      <alignment horizontal="center" vertical="center"/>
    </xf>
    <xf numFmtId="0" fontId="15" fillId="10" borderId="31" xfId="0" applyFont="1" applyFill="1" applyBorder="1" applyAlignment="1">
      <alignment horizontal="center" vertical="center"/>
    </xf>
    <xf numFmtId="0" fontId="15" fillId="10" borderId="32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4" fillId="10" borderId="48" xfId="0" applyFont="1" applyFill="1" applyBorder="1" applyAlignment="1">
      <alignment horizontal="center" vertical="center"/>
    </xf>
    <xf numFmtId="0" fontId="14" fillId="10" borderId="49" xfId="0" applyFont="1" applyFill="1" applyBorder="1" applyAlignment="1">
      <alignment horizontal="center" vertical="center"/>
    </xf>
    <xf numFmtId="0" fontId="14" fillId="10" borderId="50" xfId="0" applyFont="1" applyFill="1" applyBorder="1" applyAlignment="1">
      <alignment horizontal="center" vertical="center"/>
    </xf>
    <xf numFmtId="0" fontId="0" fillId="0" borderId="45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11" fillId="6" borderId="30" xfId="0" applyFont="1" applyFill="1" applyBorder="1" applyAlignment="1">
      <alignment horizontal="center"/>
    </xf>
    <xf numFmtId="0" fontId="11" fillId="6" borderId="31" xfId="0" applyFont="1" applyFill="1" applyBorder="1" applyAlignment="1">
      <alignment horizontal="center"/>
    </xf>
    <xf numFmtId="0" fontId="11" fillId="6" borderId="32" xfId="0" applyFont="1" applyFill="1" applyBorder="1" applyAlignment="1">
      <alignment horizontal="center"/>
    </xf>
    <xf numFmtId="0" fontId="12" fillId="0" borderId="43" xfId="0" applyFont="1" applyBorder="1" applyAlignment="1" applyProtection="1">
      <alignment horizontal="left"/>
    </xf>
    <xf numFmtId="0" fontId="12" fillId="0" borderId="45" xfId="0" applyFont="1" applyBorder="1" applyAlignment="1" applyProtection="1">
      <alignment horizontal="left"/>
    </xf>
    <xf numFmtId="0" fontId="9" fillId="0" borderId="43" xfId="0" applyFont="1" applyBorder="1" applyAlignment="1" applyProtection="1">
      <alignment horizontal="left" vertical="center"/>
    </xf>
    <xf numFmtId="0" fontId="9" fillId="0" borderId="45" xfId="0" applyFont="1" applyBorder="1" applyAlignment="1" applyProtection="1">
      <alignment horizontal="left" vertical="center"/>
    </xf>
    <xf numFmtId="178" fontId="7" fillId="2" borderId="8" xfId="4" applyNumberFormat="1" applyFont="1" applyFill="1" applyBorder="1" applyAlignment="1">
      <alignment vertical="center"/>
    </xf>
    <xf numFmtId="178" fontId="7" fillId="2" borderId="8" xfId="3" applyNumberFormat="1" applyFont="1" applyFill="1" applyBorder="1" applyAlignment="1">
      <alignment vertical="center"/>
    </xf>
    <xf numFmtId="178" fontId="7" fillId="2" borderId="9" xfId="3" applyNumberFormat="1" applyFont="1" applyFill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1" fillId="9" borderId="41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/>
    </xf>
    <xf numFmtId="0" fontId="11" fillId="9" borderId="42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178" fontId="7" fillId="2" borderId="9" xfId="4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78" fontId="6" fillId="3" borderId="13" xfId="4" applyNumberFormat="1" applyFont="1" applyFill="1" applyBorder="1" applyAlignment="1">
      <alignment horizontal="center" vertical="center"/>
    </xf>
    <xf numFmtId="178" fontId="6" fillId="3" borderId="14" xfId="4" applyNumberFormat="1" applyFont="1" applyFill="1" applyBorder="1" applyAlignment="1">
      <alignment horizontal="center" vertical="center"/>
    </xf>
    <xf numFmtId="171" fontId="0" fillId="0" borderId="0" xfId="0" applyNumberFormat="1" applyAlignment="1">
      <alignment horizontal="center" vertical="center"/>
    </xf>
  </cellXfs>
  <cellStyles count="7">
    <cellStyle name="Millares" xfId="1" builtinId="3"/>
    <cellStyle name="Millares [0]" xfId="2" builtinId="6"/>
    <cellStyle name="Moneda" xfId="3" builtinId="4"/>
    <cellStyle name="Moneda [0]" xfId="4" builtinId="7"/>
    <cellStyle name="Moneda 2" xfId="5" xr:uid="{00000000-0005-0000-0000-000004000000}"/>
    <cellStyle name="Normal" xfId="0" builtinId="0"/>
    <cellStyle name="Porcentaje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T$18" fmlaRange="$S$12:$S$15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2</xdr:col>
          <xdr:colOff>1524000</xdr:colOff>
          <xdr:row>19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9"/>
  <sheetViews>
    <sheetView showGridLines="0" tabSelected="1" view="pageBreakPreview" zoomScale="85" zoomScaleNormal="85" zoomScaleSheetLayoutView="85" workbookViewId="0">
      <selection activeCell="C22" sqref="C22"/>
    </sheetView>
  </sheetViews>
  <sheetFormatPr baseColWidth="10" defaultColWidth="11.453125" defaultRowHeight="12.5" x14ac:dyDescent="0.25"/>
  <cols>
    <col min="1" max="1" width="31.7265625" style="1" customWidth="1"/>
    <col min="2" max="2" width="17.453125" style="75" customWidth="1"/>
    <col min="3" max="3" width="23.81640625" style="1" customWidth="1"/>
    <col min="4" max="4" width="7.6328125" style="73" bestFit="1" customWidth="1"/>
    <col min="5" max="5" width="13.7265625" style="74" customWidth="1"/>
    <col min="6" max="6" width="16.7265625" style="1" customWidth="1"/>
    <col min="7" max="7" width="13.81640625" style="1" customWidth="1"/>
    <col min="8" max="8" width="9.26953125" style="1" customWidth="1"/>
    <col min="9" max="9" width="10.26953125" style="1" customWidth="1"/>
    <col min="10" max="10" width="10.26953125" style="4" customWidth="1"/>
    <col min="11" max="11" width="6.26953125" style="4" customWidth="1"/>
    <col min="12" max="12" width="13.81640625" style="5" bestFit="1" customWidth="1"/>
    <col min="13" max="14" width="0" style="1" hidden="1" customWidth="1"/>
    <col min="15" max="16" width="11.453125" style="1" hidden="1" customWidth="1"/>
    <col min="17" max="17" width="19.1796875" style="1" hidden="1" customWidth="1"/>
    <col min="18" max="18" width="18.7265625" style="1" hidden="1" customWidth="1"/>
    <col min="19" max="20" width="11.453125" style="1" hidden="1" customWidth="1"/>
    <col min="21" max="22" width="0" style="1" hidden="1" customWidth="1"/>
    <col min="23" max="23" width="14.54296875" style="1" customWidth="1"/>
    <col min="24" max="16384" width="11.453125" style="1"/>
  </cols>
  <sheetData>
    <row r="1" spans="1:24" customFormat="1" ht="28.9" customHeight="1" thickBot="1" x14ac:dyDescent="0.3">
      <c r="A1" s="141" t="s">
        <v>59</v>
      </c>
      <c r="B1" s="142"/>
      <c r="C1" s="142"/>
      <c r="D1" s="142"/>
      <c r="E1" s="143"/>
      <c r="F1" s="144" t="s">
        <v>27</v>
      </c>
      <c r="G1" s="145"/>
      <c r="H1" s="145"/>
      <c r="I1" s="145"/>
      <c r="J1" s="146"/>
      <c r="K1" s="3"/>
      <c r="L1" s="2"/>
    </row>
    <row r="2" spans="1:24" customFormat="1" ht="19.899999999999999" customHeight="1" thickBot="1" x14ac:dyDescent="0.3">
      <c r="A2" s="147" t="s">
        <v>3</v>
      </c>
      <c r="B2" s="148"/>
      <c r="C2" s="148"/>
      <c r="D2" s="148"/>
      <c r="E2" s="149"/>
      <c r="F2" s="150"/>
      <c r="G2" s="151"/>
      <c r="H2" s="87" t="s">
        <v>2</v>
      </c>
      <c r="I2" s="87" t="s">
        <v>55</v>
      </c>
      <c r="J2" s="88" t="s">
        <v>26</v>
      </c>
      <c r="K2" s="3"/>
      <c r="L2" s="3"/>
      <c r="M2" s="2"/>
    </row>
    <row r="3" spans="1:24" ht="19.149999999999999" customHeight="1" thickBot="1" x14ac:dyDescent="0.3">
      <c r="A3" s="89" t="s">
        <v>4</v>
      </c>
      <c r="B3" s="90" t="s">
        <v>5</v>
      </c>
      <c r="C3" s="91" t="s">
        <v>6</v>
      </c>
      <c r="D3" s="92" t="s">
        <v>0</v>
      </c>
      <c r="E3" s="93" t="s">
        <v>1</v>
      </c>
      <c r="F3" s="150"/>
      <c r="G3" s="151"/>
      <c r="H3" s="94">
        <f>53.62%-4.9%</f>
        <v>0.48720000000000002</v>
      </c>
      <c r="I3" s="6">
        <v>0.42199999999999999</v>
      </c>
      <c r="J3" s="7">
        <v>9.0800000000000006E-2</v>
      </c>
      <c r="L3" s="4"/>
      <c r="M3" s="5"/>
    </row>
    <row r="4" spans="1:24" customFormat="1" ht="14" x14ac:dyDescent="0.3">
      <c r="A4" s="152" t="s">
        <v>28</v>
      </c>
      <c r="B4" s="153"/>
      <c r="C4" s="153"/>
      <c r="D4" s="153"/>
      <c r="E4" s="154"/>
      <c r="F4" s="155" t="s">
        <v>29</v>
      </c>
      <c r="G4" s="156"/>
      <c r="H4" s="134">
        <f>D5*$H$3</f>
        <v>0.43848000000000004</v>
      </c>
      <c r="I4" s="8">
        <f>D5*$I$3</f>
        <v>0.37979999999999997</v>
      </c>
      <c r="J4" s="9">
        <f>D5*$J$3</f>
        <v>8.1720000000000001E-2</v>
      </c>
      <c r="K4" s="3"/>
      <c r="L4" s="3"/>
      <c r="M4" s="2"/>
    </row>
    <row r="5" spans="1:24" ht="13" x14ac:dyDescent="0.25">
      <c r="A5" s="10" t="str">
        <f>F4</f>
        <v>Cundinamarca</v>
      </c>
      <c r="B5" s="19">
        <v>0</v>
      </c>
      <c r="C5" s="12" t="s">
        <v>7</v>
      </c>
      <c r="D5" s="13">
        <v>0.9</v>
      </c>
      <c r="E5" s="84">
        <f>+B5*D5/1000</f>
        <v>0</v>
      </c>
      <c r="F5" s="157" t="s">
        <v>24</v>
      </c>
      <c r="G5" s="158"/>
      <c r="H5" s="15">
        <f>D7*$H$3</f>
        <v>0.38488800000000001</v>
      </c>
      <c r="I5" s="15">
        <f>D7*$I$3</f>
        <v>0.33338000000000001</v>
      </c>
      <c r="J5" s="16">
        <f>D7*$J$3</f>
        <v>7.1732000000000004E-2</v>
      </c>
      <c r="L5" s="4"/>
      <c r="M5" s="5"/>
      <c r="X5" s="17"/>
    </row>
    <row r="6" spans="1:24" x14ac:dyDescent="0.25">
      <c r="A6" s="18" t="s">
        <v>58</v>
      </c>
      <c r="B6" s="19">
        <v>0</v>
      </c>
      <c r="C6" s="20"/>
      <c r="D6" s="21">
        <f>+D5/2</f>
        <v>0.45</v>
      </c>
      <c r="E6" s="33">
        <f>+B6*D6/1000</f>
        <v>0</v>
      </c>
      <c r="F6" s="157" t="s">
        <v>33</v>
      </c>
      <c r="G6" s="158"/>
      <c r="H6" s="15">
        <f>D9*$H$3</f>
        <v>0.97440000000000004</v>
      </c>
      <c r="I6" s="15">
        <f>D9*$I$3</f>
        <v>0.84399999999999997</v>
      </c>
      <c r="J6" s="16">
        <f>D9*$J$3</f>
        <v>0.18160000000000001</v>
      </c>
      <c r="L6" s="4"/>
      <c r="M6" s="5"/>
      <c r="X6" s="17"/>
    </row>
    <row r="7" spans="1:24" ht="13" x14ac:dyDescent="0.25">
      <c r="A7" s="23" t="str">
        <f>F5</f>
        <v>Caldas, Quindio y Risaralda</v>
      </c>
      <c r="B7" s="19">
        <v>0</v>
      </c>
      <c r="C7" s="20"/>
      <c r="D7" s="24">
        <v>0.79</v>
      </c>
      <c r="E7" s="33">
        <f>+B7*D7/1000</f>
        <v>0</v>
      </c>
      <c r="F7" s="157" t="s">
        <v>30</v>
      </c>
      <c r="G7" s="158"/>
      <c r="H7" s="15">
        <f>D11*$H$3</f>
        <v>0.32642400000000005</v>
      </c>
      <c r="I7" s="15">
        <f>D11*$I$3</f>
        <v>0.28273999999999999</v>
      </c>
      <c r="J7" s="16">
        <f>D11*$J$3</f>
        <v>6.0836000000000008E-2</v>
      </c>
      <c r="L7" s="4"/>
      <c r="M7" s="5"/>
    </row>
    <row r="8" spans="1:24" x14ac:dyDescent="0.25">
      <c r="A8" s="25" t="str">
        <f>+A6</f>
        <v>Ind. Variable 10% anual</v>
      </c>
      <c r="B8" s="19">
        <v>0</v>
      </c>
      <c r="C8" s="20"/>
      <c r="D8" s="24">
        <f>+D7/2</f>
        <v>0.39500000000000002</v>
      </c>
      <c r="E8" s="33">
        <f>+B8*D8/1000</f>
        <v>0</v>
      </c>
      <c r="F8" s="157" t="s">
        <v>31</v>
      </c>
      <c r="G8" s="158"/>
      <c r="H8" s="15">
        <f>D13*$H$3</f>
        <v>0.32642400000000005</v>
      </c>
      <c r="I8" s="15">
        <f>D13*$I$3</f>
        <v>0.28273999999999999</v>
      </c>
      <c r="J8" s="16">
        <f>D13*$J$3</f>
        <v>6.0836000000000008E-2</v>
      </c>
      <c r="L8" s="4"/>
      <c r="M8" s="5"/>
    </row>
    <row r="9" spans="1:24" ht="13" x14ac:dyDescent="0.25">
      <c r="A9" s="26" t="str">
        <f>F6</f>
        <v>Valle del Cauca, Huila, Cauca, Tolima y Nariño</v>
      </c>
      <c r="B9" s="19">
        <v>645875000</v>
      </c>
      <c r="C9" s="27"/>
      <c r="D9" s="24">
        <v>2</v>
      </c>
      <c r="E9" s="33">
        <f t="shared" ref="E9:E18" si="0">+B9*D9/1000</f>
        <v>1291750</v>
      </c>
      <c r="F9" s="157" t="s">
        <v>32</v>
      </c>
      <c r="G9" s="158"/>
      <c r="H9" s="15">
        <f>D15*$H$3</f>
        <v>0.43848000000000004</v>
      </c>
      <c r="I9" s="15">
        <f>D15*$I$3</f>
        <v>0.37979999999999997</v>
      </c>
      <c r="J9" s="16">
        <f>D15*$J$3</f>
        <v>8.1720000000000001E-2</v>
      </c>
      <c r="L9" s="4"/>
      <c r="M9" s="5"/>
    </row>
    <row r="10" spans="1:24" ht="13.5" thickBot="1" x14ac:dyDescent="0.3">
      <c r="A10" s="28" t="str">
        <f>+A6</f>
        <v>Ind. Variable 10% anual</v>
      </c>
      <c r="B10" s="19"/>
      <c r="C10" s="27"/>
      <c r="D10" s="24">
        <f>+D9/2</f>
        <v>1</v>
      </c>
      <c r="E10" s="33">
        <f t="shared" si="0"/>
        <v>0</v>
      </c>
      <c r="F10" s="139" t="s">
        <v>15</v>
      </c>
      <c r="G10" s="140"/>
      <c r="H10" s="29">
        <f>D17*$H$3</f>
        <v>0.31668000000000002</v>
      </c>
      <c r="I10" s="29">
        <f>D17*$I$3</f>
        <v>0.27429999999999999</v>
      </c>
      <c r="J10" s="30">
        <f>D17*$J$3</f>
        <v>5.9020000000000003E-2</v>
      </c>
      <c r="L10" s="4"/>
      <c r="M10" s="5"/>
    </row>
    <row r="11" spans="1:24" ht="13.5" thickBot="1" x14ac:dyDescent="0.3">
      <c r="A11" s="26" t="str">
        <f>F7</f>
        <v>Putumayo, Caqueta, Meta Casanare, Vichada, Guainia, Vuapes, Amazonas</v>
      </c>
      <c r="B11" s="19">
        <v>0</v>
      </c>
      <c r="C11" s="20"/>
      <c r="D11" s="24">
        <v>0.67</v>
      </c>
      <c r="E11" s="22">
        <f t="shared" si="0"/>
        <v>0</v>
      </c>
      <c r="F11" s="31"/>
      <c r="H11" s="32"/>
      <c r="I11" s="5"/>
    </row>
    <row r="12" spans="1:24" ht="13" x14ac:dyDescent="0.25">
      <c r="A12" s="28" t="str">
        <f>+A6</f>
        <v>Ind. Variable 10% anual</v>
      </c>
      <c r="B12" s="19">
        <v>0</v>
      </c>
      <c r="C12" s="20"/>
      <c r="D12" s="24">
        <f>+D11/2</f>
        <v>0.33500000000000002</v>
      </c>
      <c r="E12" s="33">
        <f t="shared" si="0"/>
        <v>0</v>
      </c>
      <c r="F12" s="77" t="s">
        <v>48</v>
      </c>
      <c r="G12" s="78">
        <f>D43</f>
        <v>10.005558351074123</v>
      </c>
      <c r="H12" s="32"/>
      <c r="I12" s="5"/>
      <c r="Q12" s="34">
        <f t="shared" ref="Q12:Q25" si="1">+B5/($B$20-$B$19)</f>
        <v>0</v>
      </c>
      <c r="R12" s="35">
        <f t="shared" ref="R12:R25" si="2">+D5*Q12</f>
        <v>0</v>
      </c>
      <c r="S12" s="36" t="s">
        <v>51</v>
      </c>
      <c r="T12" s="17">
        <v>0.5</v>
      </c>
    </row>
    <row r="13" spans="1:24" ht="13" x14ac:dyDescent="0.25">
      <c r="A13" s="26" t="str">
        <f>F8</f>
        <v>Boyaca, Santanderes, Cesar, Arauca y Guajira</v>
      </c>
      <c r="B13" s="19">
        <v>0</v>
      </c>
      <c r="C13" s="20"/>
      <c r="D13" s="24">
        <v>0.67</v>
      </c>
      <c r="E13" s="33">
        <f t="shared" si="0"/>
        <v>0</v>
      </c>
      <c r="F13" s="162" t="s">
        <v>49</v>
      </c>
      <c r="G13" s="163"/>
      <c r="I13" s="5"/>
      <c r="Q13" s="34">
        <f t="shared" si="1"/>
        <v>0</v>
      </c>
      <c r="R13" s="35">
        <f t="shared" si="2"/>
        <v>0</v>
      </c>
      <c r="S13" s="36" t="s">
        <v>52</v>
      </c>
      <c r="T13" s="17">
        <v>0.7</v>
      </c>
    </row>
    <row r="14" spans="1:24" x14ac:dyDescent="0.25">
      <c r="A14" s="28" t="str">
        <f>+A6</f>
        <v>Ind. Variable 10% anual</v>
      </c>
      <c r="B14" s="19">
        <v>0</v>
      </c>
      <c r="C14" s="20"/>
      <c r="D14" s="24">
        <f>+D13/2</f>
        <v>0.33500000000000002</v>
      </c>
      <c r="E14" s="33"/>
      <c r="F14" s="79">
        <v>0</v>
      </c>
      <c r="G14" s="80">
        <f>(F14*D5/1000)+(F14*$D$24/100)</f>
        <v>0</v>
      </c>
      <c r="H14" s="37" t="str">
        <f t="shared" ref="H14:H20" si="3">F4</f>
        <v>Cundinamarca</v>
      </c>
      <c r="I14" s="5"/>
      <c r="Q14" s="34">
        <f t="shared" si="1"/>
        <v>0</v>
      </c>
      <c r="R14" s="35">
        <f t="shared" si="2"/>
        <v>0</v>
      </c>
      <c r="S14" s="36" t="s">
        <v>54</v>
      </c>
      <c r="T14" s="17">
        <v>0.85</v>
      </c>
    </row>
    <row r="15" spans="1:24" ht="13" x14ac:dyDescent="0.25">
      <c r="A15" s="26" t="str">
        <f>F9</f>
        <v>Magdalena, Bolivar, Atlantico, Sucre, Cordoba, Guajira, San Andres Islas</v>
      </c>
      <c r="B15" s="19"/>
      <c r="C15" s="20"/>
      <c r="D15" s="24">
        <v>0.9</v>
      </c>
      <c r="E15" s="33">
        <f t="shared" si="0"/>
        <v>0</v>
      </c>
      <c r="F15" s="79">
        <v>0</v>
      </c>
      <c r="G15" s="80">
        <f>(F15*D7/1000)+(F15*$D$24/100)</f>
        <v>0</v>
      </c>
      <c r="H15" s="37" t="str">
        <f t="shared" si="3"/>
        <v>Caldas, Quindio y Risaralda</v>
      </c>
      <c r="I15" s="5"/>
      <c r="Q15" s="34">
        <f t="shared" si="1"/>
        <v>0</v>
      </c>
      <c r="R15" s="35">
        <f t="shared" si="2"/>
        <v>0</v>
      </c>
      <c r="S15" s="36" t="s">
        <v>53</v>
      </c>
      <c r="T15" s="17">
        <v>1</v>
      </c>
    </row>
    <row r="16" spans="1:24" x14ac:dyDescent="0.25">
      <c r="A16" s="28" t="str">
        <f>+A6</f>
        <v>Ind. Variable 10% anual</v>
      </c>
      <c r="B16" s="19"/>
      <c r="C16" s="20"/>
      <c r="D16" s="24">
        <f>+D15/2</f>
        <v>0.45</v>
      </c>
      <c r="E16" s="33">
        <f t="shared" si="0"/>
        <v>0</v>
      </c>
      <c r="F16" s="81">
        <v>0</v>
      </c>
      <c r="G16" s="80">
        <f>(F16*D9/1000)+(F16*$D$24/100)</f>
        <v>0</v>
      </c>
      <c r="H16" s="37" t="str">
        <f t="shared" si="3"/>
        <v>Valle del Cauca, Huila, Cauca, Tolima y Nariño</v>
      </c>
      <c r="I16" s="5"/>
      <c r="Q16" s="34">
        <f t="shared" si="1"/>
        <v>1</v>
      </c>
      <c r="R16" s="35">
        <f t="shared" si="2"/>
        <v>2</v>
      </c>
    </row>
    <row r="17" spans="1:20" ht="13" x14ac:dyDescent="0.25">
      <c r="A17" s="26" t="str">
        <f>F10</f>
        <v>Antioquia y Choco</v>
      </c>
      <c r="B17" s="11">
        <v>0</v>
      </c>
      <c r="C17" s="20"/>
      <c r="D17" s="24">
        <v>0.65</v>
      </c>
      <c r="E17" s="33">
        <f t="shared" si="0"/>
        <v>0</v>
      </c>
      <c r="F17" s="81">
        <v>0</v>
      </c>
      <c r="G17" s="80">
        <f>(F17*D11/1000)+(F17*$D$24/100)</f>
        <v>0</v>
      </c>
      <c r="H17" s="37" t="str">
        <f t="shared" si="3"/>
        <v>Putumayo, Caqueta, Meta Casanare, Vichada, Guainia, Vuapes, Amazonas</v>
      </c>
      <c r="I17" s="5"/>
      <c r="Q17" s="34">
        <f t="shared" si="1"/>
        <v>0</v>
      </c>
      <c r="R17" s="35">
        <f t="shared" si="2"/>
        <v>0</v>
      </c>
    </row>
    <row r="18" spans="1:20" x14ac:dyDescent="0.25">
      <c r="A18" s="38" t="str">
        <f>+A6</f>
        <v>Ind. Variable 10% anual</v>
      </c>
      <c r="B18" s="39">
        <v>0</v>
      </c>
      <c r="C18" s="40"/>
      <c r="D18" s="41">
        <f>D17/2</f>
        <v>0.32500000000000001</v>
      </c>
      <c r="E18" s="42">
        <f t="shared" si="0"/>
        <v>0</v>
      </c>
      <c r="F18" s="81">
        <v>0</v>
      </c>
      <c r="G18" s="80">
        <f>(F18*D13/1000)+(F18*$D$24/100)</f>
        <v>0</v>
      </c>
      <c r="H18" s="37" t="str">
        <f t="shared" si="3"/>
        <v>Boyaca, Santanderes, Cesar, Arauca y Guajira</v>
      </c>
      <c r="I18" s="5"/>
      <c r="Q18" s="34">
        <f t="shared" si="1"/>
        <v>0</v>
      </c>
      <c r="R18" s="35">
        <f t="shared" si="2"/>
        <v>0</v>
      </c>
      <c r="T18" s="1">
        <v>3</v>
      </c>
    </row>
    <row r="19" spans="1:20" ht="13" x14ac:dyDescent="0.25">
      <c r="A19" s="43" t="s">
        <v>34</v>
      </c>
      <c r="B19" s="39"/>
      <c r="C19" s="40"/>
      <c r="D19" s="41">
        <f>+ROUNDUP(R26,2)</f>
        <v>1.7</v>
      </c>
      <c r="E19" s="42">
        <f>+B19*D19/1000</f>
        <v>0</v>
      </c>
      <c r="F19" s="81">
        <v>0</v>
      </c>
      <c r="G19" s="80">
        <f>(F19*D15/1000)+(F19*$D$24/100)</f>
        <v>0</v>
      </c>
      <c r="H19" s="37" t="str">
        <f t="shared" si="3"/>
        <v>Magdalena, Bolivar, Atlantico, Sucre, Cordoba, Guajira, San Andres Islas</v>
      </c>
      <c r="I19" s="5"/>
      <c r="Q19" s="34">
        <f t="shared" si="1"/>
        <v>0</v>
      </c>
      <c r="R19" s="35">
        <f t="shared" si="2"/>
        <v>0</v>
      </c>
      <c r="T19" s="1">
        <f>+INDEX($T$12:$T$15,T18,1)</f>
        <v>0.85</v>
      </c>
    </row>
    <row r="20" spans="1:20" ht="13.5" thickBot="1" x14ac:dyDescent="0.3">
      <c r="A20" s="44" t="s">
        <v>8</v>
      </c>
      <c r="B20" s="45">
        <f>SUM(B5:B19)</f>
        <v>645875000</v>
      </c>
      <c r="C20" s="46"/>
      <c r="D20" s="47">
        <f>+E20/B20*1000</f>
        <v>2</v>
      </c>
      <c r="E20" s="48">
        <f>SUM(E5:E19)</f>
        <v>1291750</v>
      </c>
      <c r="F20" s="79">
        <v>0</v>
      </c>
      <c r="G20" s="80">
        <f>(F20*D17/1000)+(F20*$D$24/100)</f>
        <v>0</v>
      </c>
      <c r="H20" s="37" t="str">
        <f t="shared" si="3"/>
        <v>Antioquia y Choco</v>
      </c>
      <c r="I20" s="5"/>
      <c r="Q20" s="34">
        <f t="shared" si="1"/>
        <v>0</v>
      </c>
      <c r="R20" s="35">
        <f t="shared" si="2"/>
        <v>0</v>
      </c>
    </row>
    <row r="21" spans="1:20" customFormat="1" ht="14.5" thickTop="1" x14ac:dyDescent="0.3">
      <c r="A21" s="164" t="s">
        <v>11</v>
      </c>
      <c r="B21" s="165"/>
      <c r="C21" s="165"/>
      <c r="D21" s="165"/>
      <c r="E21" s="166"/>
      <c r="F21" s="79">
        <f>SUM(F14:F20)</f>
        <v>0</v>
      </c>
      <c r="G21" s="80">
        <f>SUM(G14:G20)</f>
        <v>0</v>
      </c>
      <c r="H21" s="95"/>
      <c r="I21" s="95"/>
      <c r="J21" s="95"/>
      <c r="K21" s="3"/>
      <c r="L21" s="2"/>
      <c r="Q21">
        <f t="shared" si="1"/>
        <v>0</v>
      </c>
      <c r="R21">
        <f t="shared" si="2"/>
        <v>0</v>
      </c>
    </row>
    <row r="22" spans="1:20" ht="13.5" thickBot="1" x14ac:dyDescent="0.3">
      <c r="A22" s="96" t="s">
        <v>50</v>
      </c>
      <c r="B22" s="97">
        <v>645875000</v>
      </c>
      <c r="C22" s="98" t="s">
        <v>60</v>
      </c>
      <c r="D22" s="137">
        <v>0.06</v>
      </c>
      <c r="E22" s="99">
        <f>+B22*D22/100</f>
        <v>387525</v>
      </c>
      <c r="F22" s="82"/>
      <c r="G22" s="83" t="e">
        <f>G21/F21*1000</f>
        <v>#DIV/0!</v>
      </c>
      <c r="Q22" s="34">
        <f t="shared" si="1"/>
        <v>0</v>
      </c>
      <c r="R22" s="35">
        <f t="shared" si="2"/>
        <v>0</v>
      </c>
    </row>
    <row r="23" spans="1:20" ht="13" x14ac:dyDescent="0.25">
      <c r="A23" s="100" t="str">
        <f>A6</f>
        <v>Ind. Variable 10% anual</v>
      </c>
      <c r="B23" s="101">
        <v>0</v>
      </c>
      <c r="C23" s="102"/>
      <c r="D23" s="103">
        <f>D22/2</f>
        <v>0.03</v>
      </c>
      <c r="E23" s="104">
        <f>+B23*D23/100</f>
        <v>0</v>
      </c>
      <c r="J23" s="4">
        <f>D17*1.3</f>
        <v>0.84500000000000008</v>
      </c>
      <c r="Q23" s="34">
        <f t="shared" si="1"/>
        <v>0</v>
      </c>
      <c r="R23" s="35">
        <f t="shared" si="2"/>
        <v>0</v>
      </c>
    </row>
    <row r="24" spans="1:20" ht="13" x14ac:dyDescent="0.25">
      <c r="A24" s="105" t="s">
        <v>36</v>
      </c>
      <c r="B24" s="101">
        <v>0</v>
      </c>
      <c r="C24" s="102"/>
      <c r="D24" s="103">
        <v>0.05</v>
      </c>
      <c r="E24" s="104">
        <f>+B24*D24/100</f>
        <v>0</v>
      </c>
      <c r="G24" s="49"/>
      <c r="J24" s="4">
        <f>D22*1.3</f>
        <v>7.8E-2</v>
      </c>
      <c r="Q24" s="34">
        <f t="shared" si="1"/>
        <v>0</v>
      </c>
      <c r="R24" s="35">
        <f t="shared" si="2"/>
        <v>0</v>
      </c>
    </row>
    <row r="25" spans="1:20" ht="13" x14ac:dyDescent="0.25">
      <c r="A25" s="106" t="s">
        <v>12</v>
      </c>
      <c r="B25" s="107"/>
      <c r="C25" s="108"/>
      <c r="D25" s="109">
        <v>1</v>
      </c>
      <c r="E25" s="110">
        <f>+B25*D25/100</f>
        <v>0</v>
      </c>
      <c r="F25" s="50"/>
      <c r="J25" s="4">
        <f>D29*1.3</f>
        <v>3.9000000000000004</v>
      </c>
      <c r="Q25" s="34">
        <f t="shared" si="1"/>
        <v>0</v>
      </c>
      <c r="R25" s="35">
        <f t="shared" si="2"/>
        <v>0</v>
      </c>
    </row>
    <row r="26" spans="1:20" ht="13.5" thickBot="1" x14ac:dyDescent="0.3">
      <c r="A26" s="111" t="s">
        <v>35</v>
      </c>
      <c r="B26" s="112">
        <v>0</v>
      </c>
      <c r="C26" s="113"/>
      <c r="D26" s="114">
        <v>2.5</v>
      </c>
      <c r="E26" s="115">
        <f>+B26*D26/100</f>
        <v>0</v>
      </c>
      <c r="F26" s="50"/>
      <c r="J26" s="4">
        <f>D38*1.3</f>
        <v>4.9399999999999995</v>
      </c>
      <c r="Q26" s="34"/>
      <c r="R26" s="35">
        <f>+SUM(R12:R25)*T19</f>
        <v>1.7</v>
      </c>
    </row>
    <row r="27" spans="1:20" ht="14" thickTop="1" thickBot="1" x14ac:dyDescent="0.3">
      <c r="A27" s="44" t="s">
        <v>8</v>
      </c>
      <c r="B27" s="45">
        <f>SUM(B22:B26)</f>
        <v>645875000</v>
      </c>
      <c r="C27" s="46"/>
      <c r="D27" s="47">
        <f>+E27/B27*1000</f>
        <v>0.6</v>
      </c>
      <c r="E27" s="51">
        <f>SUM(E22:E26)</f>
        <v>387525</v>
      </c>
      <c r="F27" s="50"/>
      <c r="J27" s="4">
        <f>D35*1.3</f>
        <v>19.5</v>
      </c>
      <c r="K27" s="4">
        <f>I35*1.3</f>
        <v>7.8000000000000007</v>
      </c>
    </row>
    <row r="28" spans="1:20" ht="14.5" thickTop="1" x14ac:dyDescent="0.25">
      <c r="A28" s="167" t="s">
        <v>40</v>
      </c>
      <c r="B28" s="168"/>
      <c r="C28" s="168"/>
      <c r="D28" s="168"/>
      <c r="E28" s="169"/>
      <c r="F28" s="50"/>
      <c r="J28" s="4">
        <v>5.61</v>
      </c>
    </row>
    <row r="29" spans="1:20" x14ac:dyDescent="0.25">
      <c r="A29" s="116" t="s">
        <v>38</v>
      </c>
      <c r="B29" s="11">
        <v>38000000</v>
      </c>
      <c r="C29" s="12" t="s">
        <v>7</v>
      </c>
      <c r="D29" s="136">
        <v>3</v>
      </c>
      <c r="E29" s="14">
        <f t="shared" ref="E29:E35" si="4">+B29*D29/1000</f>
        <v>114000</v>
      </c>
    </row>
    <row r="30" spans="1:20" ht="13.5" thickBot="1" x14ac:dyDescent="0.3">
      <c r="A30" s="25" t="str">
        <f>+A6</f>
        <v>Ind. Variable 10% anual</v>
      </c>
      <c r="B30" s="19"/>
      <c r="C30" s="117"/>
      <c r="D30" s="24">
        <f>D29/2</f>
        <v>1.5</v>
      </c>
      <c r="E30" s="14">
        <f t="shared" si="4"/>
        <v>0</v>
      </c>
    </row>
    <row r="31" spans="1:20" ht="13" x14ac:dyDescent="0.25">
      <c r="A31" s="118" t="s">
        <v>25</v>
      </c>
      <c r="B31" s="19">
        <v>0</v>
      </c>
      <c r="C31" s="117"/>
      <c r="D31" s="24">
        <v>2</v>
      </c>
      <c r="E31" s="84">
        <f t="shared" si="4"/>
        <v>0</v>
      </c>
      <c r="F31" s="170" t="s">
        <v>16</v>
      </c>
      <c r="G31" s="171"/>
      <c r="H31" s="171"/>
      <c r="I31" s="171"/>
      <c r="J31" s="171"/>
      <c r="K31" s="172"/>
    </row>
    <row r="32" spans="1:20" ht="13" x14ac:dyDescent="0.25">
      <c r="A32" s="25" t="str">
        <f>+A8</f>
        <v>Ind. Variable 10% anual</v>
      </c>
      <c r="B32" s="19">
        <v>0</v>
      </c>
      <c r="C32" s="117"/>
      <c r="D32" s="24">
        <f>D31/2</f>
        <v>1</v>
      </c>
      <c r="E32" s="84">
        <f t="shared" si="4"/>
        <v>0</v>
      </c>
      <c r="F32" s="86" t="s">
        <v>17</v>
      </c>
      <c r="G32" s="173" t="s">
        <v>5</v>
      </c>
      <c r="H32" s="173"/>
      <c r="I32" s="85" t="s">
        <v>18</v>
      </c>
      <c r="J32" s="173" t="s">
        <v>1</v>
      </c>
      <c r="K32" s="174"/>
      <c r="L32" s="4"/>
      <c r="M32" s="5"/>
    </row>
    <row r="33" spans="1:23" ht="13" x14ac:dyDescent="0.25">
      <c r="A33" s="118" t="s">
        <v>37</v>
      </c>
      <c r="B33" s="19">
        <v>0</v>
      </c>
      <c r="C33" s="117"/>
      <c r="D33" s="24">
        <v>3</v>
      </c>
      <c r="E33" s="84">
        <f t="shared" si="4"/>
        <v>0</v>
      </c>
      <c r="F33" s="133" t="s">
        <v>19</v>
      </c>
      <c r="G33" s="159">
        <f>B43</f>
        <v>645875000</v>
      </c>
      <c r="H33" s="159"/>
      <c r="I33" s="52">
        <f>+D43</f>
        <v>10.005558351074123</v>
      </c>
      <c r="J33" s="159">
        <f>+G33*I33/1000</f>
        <v>6462339.9999999991</v>
      </c>
      <c r="K33" s="175"/>
      <c r="L33" s="4"/>
      <c r="M33" s="4"/>
      <c r="N33" s="5"/>
    </row>
    <row r="34" spans="1:23" ht="13" x14ac:dyDescent="0.25">
      <c r="A34" s="119" t="str">
        <f>+A10</f>
        <v>Ind. Variable 10% anual</v>
      </c>
      <c r="B34" s="39">
        <v>0</v>
      </c>
      <c r="C34" s="120"/>
      <c r="D34" s="41">
        <f>D33/2</f>
        <v>1.5</v>
      </c>
      <c r="E34" s="121">
        <f t="shared" si="4"/>
        <v>0</v>
      </c>
      <c r="F34" s="133" t="s">
        <v>20</v>
      </c>
      <c r="G34" s="159">
        <v>1000000000</v>
      </c>
      <c r="H34" s="159"/>
      <c r="I34" s="52">
        <v>3</v>
      </c>
      <c r="J34" s="160">
        <f>+G34*I34/1000</f>
        <v>3000000</v>
      </c>
      <c r="K34" s="161"/>
      <c r="L34" s="4"/>
      <c r="M34" s="4"/>
      <c r="N34" s="5"/>
    </row>
    <row r="35" spans="1:23" ht="13.5" thickBot="1" x14ac:dyDescent="0.3">
      <c r="A35" s="122" t="s">
        <v>57</v>
      </c>
      <c r="B35" s="123">
        <v>235575000</v>
      </c>
      <c r="C35" s="138" t="s">
        <v>61</v>
      </c>
      <c r="D35" s="124">
        <v>15</v>
      </c>
      <c r="E35" s="125">
        <f t="shared" si="4"/>
        <v>3533625</v>
      </c>
      <c r="F35" s="133" t="s">
        <v>56</v>
      </c>
      <c r="G35" s="159">
        <v>0</v>
      </c>
      <c r="H35" s="159"/>
      <c r="I35" s="52">
        <v>6</v>
      </c>
      <c r="J35" s="160"/>
      <c r="K35" s="161"/>
      <c r="L35" s="4"/>
      <c r="M35" s="4"/>
      <c r="N35" s="5"/>
      <c r="W35" s="135"/>
    </row>
    <row r="36" spans="1:23" ht="14" thickTop="1" thickBot="1" x14ac:dyDescent="0.3">
      <c r="A36" s="53" t="s">
        <v>8</v>
      </c>
      <c r="B36" s="54">
        <f>SUM(B29:B34)</f>
        <v>38000000</v>
      </c>
      <c r="C36" s="55"/>
      <c r="D36" s="56">
        <f>+E36/B36*1000</f>
        <v>95.99013157894737</v>
      </c>
      <c r="E36" s="57">
        <f>SUM(E29:E35)</f>
        <v>3647625</v>
      </c>
      <c r="F36" s="133" t="s">
        <v>21</v>
      </c>
      <c r="G36" s="159"/>
      <c r="H36" s="159"/>
      <c r="I36" s="52">
        <v>43.58</v>
      </c>
      <c r="J36" s="160">
        <f>+G36*I36/1000</f>
        <v>0</v>
      </c>
      <c r="K36" s="161"/>
      <c r="L36" s="4"/>
      <c r="M36" s="4"/>
      <c r="N36" s="5"/>
      <c r="W36" s="135"/>
    </row>
    <row r="37" spans="1:23" ht="14" x14ac:dyDescent="0.3">
      <c r="A37" s="164" t="s">
        <v>13</v>
      </c>
      <c r="B37" s="165"/>
      <c r="C37" s="165"/>
      <c r="D37" s="165"/>
      <c r="E37" s="166"/>
      <c r="F37" s="133" t="s">
        <v>44</v>
      </c>
      <c r="G37" s="159">
        <v>0</v>
      </c>
      <c r="H37" s="159"/>
      <c r="I37" s="52">
        <v>0.08</v>
      </c>
      <c r="J37" s="160">
        <f t="shared" ref="J37:J42" si="5">+G37*I37/100</f>
        <v>0</v>
      </c>
      <c r="K37" s="161"/>
      <c r="L37" s="4"/>
      <c r="M37" s="4"/>
      <c r="N37" s="5"/>
    </row>
    <row r="38" spans="1:23" x14ac:dyDescent="0.25">
      <c r="A38" s="96" t="s">
        <v>41</v>
      </c>
      <c r="B38" s="97">
        <v>298800000</v>
      </c>
      <c r="C38" s="98" t="s">
        <v>7</v>
      </c>
      <c r="D38" s="136">
        <v>3.8</v>
      </c>
      <c r="E38" s="99">
        <f>+B38*D38/1000</f>
        <v>1135440</v>
      </c>
      <c r="F38" s="133" t="s">
        <v>42</v>
      </c>
      <c r="G38" s="159">
        <v>0</v>
      </c>
      <c r="H38" s="159"/>
      <c r="I38" s="52">
        <v>0.08</v>
      </c>
      <c r="J38" s="160">
        <v>0</v>
      </c>
      <c r="K38" s="161"/>
      <c r="L38" s="4"/>
      <c r="M38" s="4"/>
      <c r="N38" s="5"/>
    </row>
    <row r="39" spans="1:23" ht="13" x14ac:dyDescent="0.25">
      <c r="A39" s="100" t="str">
        <f>+A6</f>
        <v>Ind. Variable 10% anual</v>
      </c>
      <c r="B39" s="101">
        <v>0</v>
      </c>
      <c r="C39" s="102"/>
      <c r="D39" s="103">
        <f>+D38/2</f>
        <v>1.9</v>
      </c>
      <c r="E39" s="99">
        <f>+B39*D39/1000</f>
        <v>0</v>
      </c>
      <c r="F39" s="133" t="s">
        <v>43</v>
      </c>
      <c r="G39" s="159">
        <v>0</v>
      </c>
      <c r="H39" s="159"/>
      <c r="I39" s="52">
        <v>0.08</v>
      </c>
      <c r="J39" s="160">
        <v>0</v>
      </c>
      <c r="K39" s="161"/>
      <c r="L39" s="4"/>
      <c r="M39" s="4"/>
      <c r="N39" s="5"/>
    </row>
    <row r="40" spans="1:23" x14ac:dyDescent="0.25">
      <c r="A40" s="100" t="s">
        <v>23</v>
      </c>
      <c r="B40" s="101">
        <v>0</v>
      </c>
      <c r="C40" s="126"/>
      <c r="D40" s="103">
        <f>+D38</f>
        <v>3.8</v>
      </c>
      <c r="E40" s="127">
        <f>+B40*D40/1000</f>
        <v>0</v>
      </c>
      <c r="F40" s="133" t="s">
        <v>45</v>
      </c>
      <c r="G40" s="159">
        <v>0</v>
      </c>
      <c r="H40" s="159"/>
      <c r="I40" s="52">
        <v>0.1</v>
      </c>
      <c r="J40" s="160">
        <f t="shared" si="5"/>
        <v>0</v>
      </c>
      <c r="K40" s="161"/>
      <c r="L40" s="4"/>
      <c r="M40" s="4"/>
      <c r="N40" s="5"/>
    </row>
    <row r="41" spans="1:23" ht="13" thickBot="1" x14ac:dyDescent="0.3">
      <c r="A41" s="128" t="s">
        <v>14</v>
      </c>
      <c r="B41" s="129">
        <v>0</v>
      </c>
      <c r="C41" s="130">
        <f>+C19</f>
        <v>0</v>
      </c>
      <c r="D41" s="131">
        <f>+D38</f>
        <v>3.8</v>
      </c>
      <c r="E41" s="132">
        <f>+B41*D41/1000</f>
        <v>0</v>
      </c>
      <c r="F41" s="133" t="s">
        <v>46</v>
      </c>
      <c r="G41" s="159">
        <v>0</v>
      </c>
      <c r="H41" s="159"/>
      <c r="I41" s="52">
        <v>0.1</v>
      </c>
      <c r="J41" s="160">
        <f t="shared" si="5"/>
        <v>0</v>
      </c>
      <c r="K41" s="161"/>
      <c r="L41" s="4"/>
      <c r="M41" s="4"/>
      <c r="N41" s="5"/>
    </row>
    <row r="42" spans="1:23" ht="14" thickTop="1" thickBot="1" x14ac:dyDescent="0.3">
      <c r="A42" s="53" t="s">
        <v>8</v>
      </c>
      <c r="B42" s="54">
        <f>SUM(B38:B41)</f>
        <v>298800000</v>
      </c>
      <c r="C42" s="55"/>
      <c r="D42" s="56">
        <f>+E42/B42*100</f>
        <v>0.38</v>
      </c>
      <c r="E42" s="58">
        <f>SUM(E38:E41)</f>
        <v>1135440</v>
      </c>
      <c r="F42" s="133" t="s">
        <v>47</v>
      </c>
      <c r="G42" s="159">
        <v>0</v>
      </c>
      <c r="H42" s="159"/>
      <c r="I42" s="52">
        <v>0.1</v>
      </c>
      <c r="J42" s="160">
        <f t="shared" si="5"/>
        <v>0</v>
      </c>
      <c r="K42" s="161"/>
      <c r="L42" s="4"/>
      <c r="M42" s="4"/>
      <c r="N42" s="5"/>
    </row>
    <row r="43" spans="1:23" ht="13.5" thickBot="1" x14ac:dyDescent="0.3">
      <c r="A43" s="59" t="s">
        <v>39</v>
      </c>
      <c r="B43" s="60">
        <f>+B20</f>
        <v>645875000</v>
      </c>
      <c r="C43" s="61" t="s">
        <v>9</v>
      </c>
      <c r="D43" s="62">
        <f>+(E43/B43)*1000</f>
        <v>10.005558351074123</v>
      </c>
      <c r="E43" s="76">
        <f>E20+E27+E36+E42</f>
        <v>6462340</v>
      </c>
      <c r="F43" s="177" t="s">
        <v>22</v>
      </c>
      <c r="G43" s="178"/>
      <c r="H43" s="178"/>
      <c r="I43" s="178"/>
      <c r="J43" s="179">
        <f>SUM(J33:K42)</f>
        <v>9462340</v>
      </c>
      <c r="K43" s="180"/>
      <c r="L43" s="4"/>
      <c r="M43" s="4"/>
      <c r="N43" s="5"/>
    </row>
    <row r="44" spans="1:23" ht="14" thickTop="1" thickBot="1" x14ac:dyDescent="0.3">
      <c r="A44" s="63"/>
      <c r="B44" s="64"/>
      <c r="C44" s="65"/>
      <c r="D44" s="66"/>
      <c r="E44" s="67"/>
      <c r="F44" s="68"/>
      <c r="G44" s="176"/>
      <c r="H44" s="176"/>
      <c r="J44" s="181"/>
      <c r="K44" s="181"/>
    </row>
    <row r="45" spans="1:23" ht="13.5" thickBot="1" x14ac:dyDescent="0.3">
      <c r="B45" s="69"/>
      <c r="C45" s="70" t="s">
        <v>10</v>
      </c>
      <c r="D45" s="71" t="e">
        <f>+E45/E43</f>
        <v>#REF!</v>
      </c>
      <c r="E45" s="72" t="e">
        <f>SUM(#REF!)</f>
        <v>#REF!</v>
      </c>
      <c r="F45" s="68"/>
      <c r="G45" s="176"/>
      <c r="H45" s="176"/>
    </row>
    <row r="46" spans="1:23" x14ac:dyDescent="0.25">
      <c r="B46" s="69"/>
    </row>
    <row r="47" spans="1:23" x14ac:dyDescent="0.25">
      <c r="B47" s="69"/>
    </row>
    <row r="48" spans="1:23" x14ac:dyDescent="0.25">
      <c r="B48" s="69"/>
    </row>
    <row r="49" spans="2:2" x14ac:dyDescent="0.25">
      <c r="B49" s="69"/>
    </row>
  </sheetData>
  <mergeCells count="45">
    <mergeCell ref="G45:H45"/>
    <mergeCell ref="G40:H40"/>
    <mergeCell ref="J40:K40"/>
    <mergeCell ref="G41:H41"/>
    <mergeCell ref="J41:K41"/>
    <mergeCell ref="G42:H42"/>
    <mergeCell ref="J42:K42"/>
    <mergeCell ref="F43:I43"/>
    <mergeCell ref="J43:K43"/>
    <mergeCell ref="G44:H44"/>
    <mergeCell ref="J44:K44"/>
    <mergeCell ref="A37:E37"/>
    <mergeCell ref="G37:H37"/>
    <mergeCell ref="J37:K37"/>
    <mergeCell ref="G39:H39"/>
    <mergeCell ref="J39:K39"/>
    <mergeCell ref="G38:H38"/>
    <mergeCell ref="J38:K38"/>
    <mergeCell ref="G36:H36"/>
    <mergeCell ref="J36:K36"/>
    <mergeCell ref="F13:G13"/>
    <mergeCell ref="A21:E21"/>
    <mergeCell ref="A28:E28"/>
    <mergeCell ref="F31:K31"/>
    <mergeCell ref="G32:H32"/>
    <mergeCell ref="J32:K32"/>
    <mergeCell ref="G33:H33"/>
    <mergeCell ref="J33:K33"/>
    <mergeCell ref="G34:H34"/>
    <mergeCell ref="J34:K34"/>
    <mergeCell ref="G35:H35"/>
    <mergeCell ref="J35:K35"/>
    <mergeCell ref="F10:G10"/>
    <mergeCell ref="A1:E1"/>
    <mergeCell ref="F1:J1"/>
    <mergeCell ref="A2:E2"/>
    <mergeCell ref="F2:G2"/>
    <mergeCell ref="F3:G3"/>
    <mergeCell ref="A4:E4"/>
    <mergeCell ref="F4:G4"/>
    <mergeCell ref="F5:G5"/>
    <mergeCell ref="F6:G6"/>
    <mergeCell ref="F7:G7"/>
    <mergeCell ref="F8:G8"/>
    <mergeCell ref="F9:G9"/>
  </mergeCells>
  <printOptions gridLinesSet="0"/>
  <pageMargins left="0.31" right="0.28000000000000003" top="0.98425196850393704" bottom="0.98425196850393704" header="0.51181102362204722" footer="0.51181102362204722"/>
  <pageSetup scale="70" orientation="landscape" r:id="rId1"/>
  <headerFooter alignWithMargins="0">
    <oddHeader>&amp;A</oddHeader>
    <oddFooter>Página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2</xdr:col>
                    <xdr:colOff>1524000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baseColWidth="10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Tasa</vt:lpstr>
      <vt:lpstr>Hoja1</vt:lpstr>
      <vt:lpstr>Tasa!Área_de_impresión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HELITAXI</dc:title>
  <dc:creator>JOSE FERNANDO MEDINA</dc:creator>
  <cp:lastModifiedBy>INVERSEGUROS</cp:lastModifiedBy>
  <cp:lastPrinted>2022-04-03T03:06:54Z</cp:lastPrinted>
  <dcterms:created xsi:type="dcterms:W3CDTF">1998-12-29T15:43:42Z</dcterms:created>
  <dcterms:modified xsi:type="dcterms:W3CDTF">2022-04-03T04:20:04Z</dcterms:modified>
</cp:coreProperties>
</file>