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Astudillo\Downloads\"/>
    </mc:Choice>
  </mc:AlternateContent>
  <xr:revisionPtr revIDLastSave="0" documentId="13_ncr:1_{EF65BCD4-0E0E-4B6D-A480-792253050ED5}" xr6:coauthVersionLast="47" xr6:coauthVersionMax="47" xr10:uidLastSave="{00000000-0000-0000-0000-000000000000}"/>
  <bookViews>
    <workbookView xWindow="-108" yWindow="-108" windowWidth="23256" windowHeight="12456" xr2:uid="{69AAD36E-CAFA-43EB-832F-400E58192986}"/>
  </bookViews>
  <sheets>
    <sheet name="LIQ. PRETENSIONES DEMANDA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2" l="1"/>
  <c r="E64" i="12"/>
  <c r="E63" i="12"/>
  <c r="E62" i="12"/>
  <c r="J62" i="12"/>
  <c r="J63" i="12"/>
  <c r="J64" i="12"/>
  <c r="E78" i="12"/>
  <c r="K63" i="12" l="1"/>
  <c r="K64" i="12"/>
  <c r="K62" i="12"/>
  <c r="D64" i="12"/>
  <c r="D63" i="12"/>
  <c r="D62" i="12"/>
  <c r="E57" i="12"/>
  <c r="E56" i="12"/>
  <c r="E55" i="12"/>
  <c r="E54" i="12"/>
  <c r="E53" i="12"/>
  <c r="E52" i="12"/>
  <c r="E51" i="12"/>
  <c r="E50" i="12"/>
  <c r="E49" i="12"/>
  <c r="E48" i="12"/>
  <c r="E47" i="12"/>
  <c r="E43" i="12"/>
  <c r="E42" i="12"/>
  <c r="E41" i="12"/>
  <c r="E40" i="12"/>
  <c r="E39" i="12"/>
  <c r="E38" i="12"/>
  <c r="E37" i="12"/>
  <c r="E36" i="12"/>
  <c r="E35" i="12"/>
  <c r="E34" i="12"/>
  <c r="E33" i="12"/>
  <c r="E21" i="12"/>
  <c r="E20" i="12"/>
  <c r="E22" i="12"/>
  <c r="E23" i="12"/>
  <c r="E24" i="12"/>
  <c r="E25" i="12"/>
  <c r="E26" i="12"/>
  <c r="E27" i="12"/>
  <c r="E28" i="12"/>
  <c r="E29" i="12"/>
  <c r="E14" i="12"/>
  <c r="E15" i="12"/>
  <c r="E11" i="12"/>
  <c r="F11" i="12" s="1"/>
  <c r="E77" i="12" s="1"/>
  <c r="E76" i="12" s="1"/>
  <c r="F78" i="12" s="1"/>
  <c r="F79" i="12" s="1"/>
  <c r="E10" i="12"/>
  <c r="F10" i="12" s="1"/>
  <c r="G10" i="12" s="1"/>
  <c r="H10" i="12" s="1"/>
  <c r="E9" i="12"/>
  <c r="F9" i="12" s="1"/>
  <c r="F62" i="12" l="1"/>
  <c r="F63" i="12"/>
  <c r="F64" i="12"/>
  <c r="F15" i="12"/>
  <c r="G11" i="12"/>
  <c r="H11" i="12" s="1"/>
  <c r="F65" i="12" l="1"/>
  <c r="F41" i="12"/>
  <c r="D55" i="12" s="1"/>
  <c r="F55" i="12" s="1"/>
  <c r="F27" i="12"/>
  <c r="F43" i="12"/>
  <c r="D57" i="12" s="1"/>
  <c r="F57" i="12" s="1"/>
  <c r="F40" i="12"/>
  <c r="D54" i="12" s="1"/>
  <c r="F54" i="12" s="1"/>
  <c r="F26" i="12"/>
  <c r="F42" i="12"/>
  <c r="D56" i="12" s="1"/>
  <c r="F56" i="12" s="1"/>
  <c r="F28" i="12"/>
  <c r="F25" i="12"/>
  <c r="F39" i="12"/>
  <c r="D53" i="12" s="1"/>
  <c r="F53" i="12" s="1"/>
  <c r="E19" i="12" l="1"/>
  <c r="G9" i="12"/>
  <c r="H9" i="12" s="1"/>
  <c r="F33" i="12" l="1"/>
  <c r="D47" i="12" s="1"/>
  <c r="F47" i="12" s="1"/>
  <c r="F14" i="12"/>
  <c r="F29" i="12"/>
  <c r="F22" i="12" l="1"/>
  <c r="F36" i="12"/>
  <c r="D50" i="12" s="1"/>
  <c r="F50" i="12" s="1"/>
  <c r="F34" i="12"/>
  <c r="F20" i="12"/>
  <c r="F38" i="12"/>
  <c r="D52" i="12" s="1"/>
  <c r="F52" i="12" s="1"/>
  <c r="F24" i="12"/>
  <c r="F35" i="12"/>
  <c r="D49" i="12" s="1"/>
  <c r="F49" i="12" s="1"/>
  <c r="F21" i="12"/>
  <c r="F23" i="12"/>
  <c r="F37" i="12"/>
  <c r="D51" i="12" s="1"/>
  <c r="F51" i="12" s="1"/>
  <c r="F16" i="12"/>
  <c r="F19" i="12"/>
  <c r="F44" i="12" l="1"/>
  <c r="D48" i="12"/>
  <c r="F48" i="12" s="1"/>
  <c r="F58" i="12" s="1"/>
  <c r="F30" i="12"/>
</calcChain>
</file>

<file path=xl/sharedStrings.xml><?xml version="1.0" encoding="utf-8"?>
<sst xmlns="http://schemas.openxmlformats.org/spreadsheetml/2006/main" count="73" uniqueCount="42">
  <si>
    <t>DIFERENCIAS SALARIALES AÑOS</t>
  </si>
  <si>
    <t>DESDE</t>
  </si>
  <si>
    <t>HASTA</t>
  </si>
  <si>
    <t>CARGO</t>
  </si>
  <si>
    <t>SALARIOS DEVENGADOS</t>
  </si>
  <si>
    <t>SALARIOS PRETENDIDOS (CONFORME AL ESCALAFON DEL FNA)</t>
  </si>
  <si>
    <t>DIFERENCIA</t>
  </si>
  <si>
    <t>DIFERENCIA VLR DIA</t>
  </si>
  <si>
    <t>DÍAS</t>
  </si>
  <si>
    <t>TOTAL DIFERENCIA SALARIOS</t>
  </si>
  <si>
    <t>TOTAL ADEUDADO</t>
  </si>
  <si>
    <t>PRIMAS</t>
  </si>
  <si>
    <t>CESANTÍAS</t>
  </si>
  <si>
    <t>INTERESES</t>
  </si>
  <si>
    <t>SALARIO</t>
  </si>
  <si>
    <t>Total Liquidación:</t>
  </si>
  <si>
    <t>OPERADOR CAMION GRUA</t>
  </si>
  <si>
    <t>Nota 1: No se lliquidan horas extras, ni recargos nocturnos, dominicales o festivos, comoquiera que el demandante no acredita prueba de las horas extras laboradas, ni de los supuestos días laborados en horario nocturno o días dominicales o festivos.</t>
  </si>
  <si>
    <t>INDEMNIZACIÓN MORATORIA</t>
  </si>
  <si>
    <t>TOTAL</t>
  </si>
  <si>
    <t>HASTA (FIN VIGENCIA POLIZA)</t>
  </si>
  <si>
    <t>INDEMNIZACIÓN ARTÍCULO 64 DEL C.S.T.</t>
  </si>
  <si>
    <t>AÑO</t>
  </si>
  <si>
    <t>MES</t>
  </si>
  <si>
    <t>DÍA</t>
  </si>
  <si>
    <t>Tiempo Laborado en:</t>
  </si>
  <si>
    <t>Fecha de Terminación del contrato:</t>
  </si>
  <si>
    <t>Días</t>
  </si>
  <si>
    <t>Años</t>
  </si>
  <si>
    <t>Fecha de inicio:</t>
  </si>
  <si>
    <t>Ingreso Mensual:</t>
  </si>
  <si>
    <t>Ingreso Diario:</t>
  </si>
  <si>
    <t>Total Indemnizacón:</t>
  </si>
  <si>
    <t>Indemnización 1er año</t>
  </si>
  <si>
    <t>Indemnización años siguientes</t>
  </si>
  <si>
    <t xml:space="preserve">"Nota 2: Las pretensiones de la demanda van encaminadas a que: •	Que se declare que existió una relación laboral entre el demandante y MORELCO S.A.S. desde el 12/12/2013 al 06/03/2019
•	Declarar la existencia de la solidaridad laboral de las sociedades ECOPETROL S.A., CENIT TRANSPORTE Y LOGÍSTICA DE HIDROCARBUROS S.A.S. con la sociedad MORELCO S.A.S.
•	Que se condene solidariamente a las demandadas al pago de: indemnización del Art. 64 del CST, recargos y horas extras, pago de viáticos, reajuste de aportes a seguridad social, reajuste de las prestaciones sociales y vacaciones, pago de prestaciones extralegales, salarios por los periodos de interrupción, pago de prestaciones sociales y aportes a seguridad social en los periodos de interrupción, indemnización moratoria, indexación. 							
							</t>
  </si>
  <si>
    <t xml:space="preserve">LIQUIDACIÓN DE LAS PRETENSIONES DE LA DEMANDA </t>
  </si>
  <si>
    <t>Solo se liquidan los periodos que no fueron periodo de contrato de conformidad con las pretensiones de la demanda, sin embargo es objeto de debate probatorio</t>
  </si>
  <si>
    <t>Las casillas en rojo son los periodos que no fueron objeto de contrato y los amarillos son los periodos en que iniciaron los contratos subsiguientes</t>
  </si>
  <si>
    <t>DIFERENCIAS VACACIONES</t>
  </si>
  <si>
    <t>VACACIONES PAGADAS</t>
  </si>
  <si>
    <t>VACACIONES ADEUDADAS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</si>
</sst>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70" formatCode="&quot;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5" fillId="0" borderId="1" xfId="1" applyNumberFormat="1" applyFont="1" applyBorder="1"/>
    <xf numFmtId="164" fontId="5" fillId="0" borderId="1" xfId="1" applyNumberFormat="1" applyFont="1" applyFill="1" applyBorder="1"/>
    <xf numFmtId="164" fontId="4" fillId="3" borderId="1" xfId="1" applyNumberFormat="1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165" fontId="5" fillId="0" borderId="1" xfId="2" applyNumberFormat="1" applyFont="1" applyBorder="1"/>
    <xf numFmtId="3" fontId="5" fillId="0" borderId="1" xfId="0" applyNumberFormat="1" applyFont="1" applyBorder="1"/>
    <xf numFmtId="165" fontId="5" fillId="0" borderId="1" xfId="0" applyNumberFormat="1" applyFont="1" applyBorder="1"/>
    <xf numFmtId="164" fontId="4" fillId="3" borderId="1" xfId="7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Fill="1" applyBorder="1"/>
    <xf numFmtId="0" fontId="4" fillId="0" borderId="0" xfId="0" applyFont="1"/>
    <xf numFmtId="0" fontId="8" fillId="0" borderId="0" xfId="0" applyFont="1" applyAlignment="1">
      <alignment vertical="center" wrapText="1"/>
    </xf>
    <xf numFmtId="164" fontId="9" fillId="4" borderId="1" xfId="0" applyNumberFormat="1" applyFont="1" applyFill="1" applyBorder="1"/>
    <xf numFmtId="44" fontId="5" fillId="0" borderId="1" xfId="2" applyFont="1" applyBorder="1"/>
    <xf numFmtId="170" fontId="5" fillId="0" borderId="1" xfId="2" applyNumberFormat="1" applyFont="1" applyBorder="1"/>
    <xf numFmtId="14" fontId="5" fillId="6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4" fontId="5" fillId="7" borderId="1" xfId="0" applyNumberFormat="1" applyFont="1" applyFill="1" applyBorder="1" applyAlignment="1">
      <alignment horizontal="center" vertical="center"/>
    </xf>
    <xf numFmtId="164" fontId="5" fillId="8" borderId="1" xfId="1" applyNumberFormat="1" applyFont="1" applyFill="1" applyBorder="1"/>
    <xf numFmtId="0" fontId="10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/>
    <xf numFmtId="8" fontId="11" fillId="0" borderId="2" xfId="0" applyNumberFormat="1" applyFont="1" applyBorder="1" applyAlignment="1">
      <alignment horizontal="center"/>
    </xf>
    <xf numFmtId="8" fontId="11" fillId="0" borderId="4" xfId="0" applyNumberFormat="1" applyFont="1" applyBorder="1" applyAlignment="1">
      <alignment horizontal="center"/>
    </xf>
    <xf numFmtId="8" fontId="11" fillId="0" borderId="5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8" fontId="11" fillId="9" borderId="2" xfId="0" applyNumberFormat="1" applyFont="1" applyFill="1" applyBorder="1" applyAlignment="1">
      <alignment horizontal="center"/>
    </xf>
    <xf numFmtId="8" fontId="11" fillId="9" borderId="4" xfId="0" applyNumberFormat="1" applyFont="1" applyFill="1" applyBorder="1" applyAlignment="1">
      <alignment horizontal="center"/>
    </xf>
    <xf numFmtId="8" fontId="11" fillId="9" borderId="5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10" fillId="5" borderId="2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4</xdr:col>
      <xdr:colOff>1463754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9</xdr:col>
      <xdr:colOff>411480</xdr:colOff>
      <xdr:row>22</xdr:row>
      <xdr:rowOff>144780</xdr:rowOff>
    </xdr:from>
    <xdr:to>
      <xdr:col>13</xdr:col>
      <xdr:colOff>128516</xdr:colOff>
      <xdr:row>35</xdr:row>
      <xdr:rowOff>17487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88596-4F8B-49EF-949A-810BB7F69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93040" y="4290060"/>
          <a:ext cx="6315956" cy="2448267"/>
        </a:xfrm>
        <a:prstGeom prst="rect">
          <a:avLst/>
        </a:prstGeom>
      </xdr:spPr>
    </xdr:pic>
    <xdr:clientData/>
  </xdr:twoCellAnchor>
  <xdr:twoCellAnchor editAs="oneCell">
    <xdr:from>
      <xdr:col>9</xdr:col>
      <xdr:colOff>457200</xdr:colOff>
      <xdr:row>11</xdr:row>
      <xdr:rowOff>45720</xdr:rowOff>
    </xdr:from>
    <xdr:to>
      <xdr:col>13</xdr:col>
      <xdr:colOff>402868</xdr:colOff>
      <xdr:row>22</xdr:row>
      <xdr:rowOff>99363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D1DE701-CF2F-41EA-8342-011F0C0AC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38760" y="2072640"/>
          <a:ext cx="6544588" cy="2172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A1:W82"/>
  <sheetViews>
    <sheetView tabSelected="1" topLeftCell="C75" zoomScaleNormal="100" workbookViewId="0">
      <selection activeCell="F82" sqref="F82"/>
    </sheetView>
  </sheetViews>
  <sheetFormatPr baseColWidth="10" defaultColWidth="11.44140625" defaultRowHeight="14.4" x14ac:dyDescent="0.3"/>
  <cols>
    <col min="1" max="1" width="4.109375" customWidth="1"/>
    <col min="2" max="2" width="24.6640625" customWidth="1"/>
    <col min="3" max="3" width="24.44140625" style="1" customWidth="1"/>
    <col min="4" max="4" width="22.6640625" style="1" customWidth="1"/>
    <col min="5" max="5" width="23.109375" style="1" customWidth="1"/>
    <col min="6" max="6" width="25.33203125" style="1" customWidth="1"/>
    <col min="7" max="7" width="18.88671875" style="1" customWidth="1"/>
    <col min="8" max="8" width="20.33203125" style="1" bestFit="1" customWidth="1"/>
    <col min="9" max="9" width="18.44140625" customWidth="1"/>
    <col min="10" max="10" width="11.5546875" customWidth="1"/>
    <col min="11" max="11" width="23.6640625" customWidth="1"/>
    <col min="12" max="12" width="30.6640625" customWidth="1"/>
    <col min="13" max="13" width="30.33203125" customWidth="1"/>
    <col min="14" max="14" width="18.88671875" bestFit="1" customWidth="1"/>
    <col min="15" max="15" width="20.33203125" bestFit="1" customWidth="1"/>
  </cols>
  <sheetData>
    <row r="1" spans="1:23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23" ht="14.4" customHeight="1" x14ac:dyDescent="0.3">
      <c r="A2" s="8"/>
      <c r="B2" s="8"/>
      <c r="C2" s="8"/>
      <c r="D2" s="8"/>
      <c r="E2" s="8"/>
      <c r="F2" s="8"/>
      <c r="G2" s="8"/>
      <c r="H2" s="8"/>
      <c r="I2" s="8"/>
      <c r="J2" s="47" t="s">
        <v>35</v>
      </c>
      <c r="K2" s="47"/>
      <c r="L2" s="47"/>
      <c r="M2" s="47"/>
      <c r="N2" s="47"/>
      <c r="O2" s="47"/>
      <c r="P2" s="8"/>
      <c r="Q2" s="8"/>
    </row>
    <row r="3" spans="1:23" x14ac:dyDescent="0.3">
      <c r="A3" s="8"/>
      <c r="B3" s="8"/>
      <c r="C3" s="8"/>
      <c r="D3" s="8"/>
      <c r="E3" s="8"/>
      <c r="F3" s="8"/>
      <c r="G3" s="8"/>
      <c r="H3" s="8"/>
      <c r="I3" s="8"/>
      <c r="J3" s="47"/>
      <c r="K3" s="47"/>
      <c r="L3" s="47"/>
      <c r="M3" s="47"/>
      <c r="N3" s="47"/>
      <c r="O3" s="47"/>
      <c r="P3" s="8"/>
      <c r="Q3" s="8"/>
    </row>
    <row r="4" spans="1:23" ht="14.4" customHeight="1" x14ac:dyDescent="0.3">
      <c r="A4" s="8"/>
      <c r="B4" s="8"/>
      <c r="C4" s="8"/>
      <c r="D4" s="8"/>
      <c r="E4" s="8"/>
      <c r="F4" s="8"/>
      <c r="G4" s="8"/>
      <c r="H4" s="8"/>
      <c r="I4" s="8"/>
      <c r="J4" s="47"/>
      <c r="K4" s="47"/>
      <c r="L4" s="47"/>
      <c r="M4" s="47"/>
      <c r="N4" s="47"/>
      <c r="O4" s="47"/>
      <c r="P4" s="8"/>
      <c r="Q4" s="8"/>
      <c r="S4" s="19"/>
      <c r="T4" s="19"/>
      <c r="U4" s="19"/>
      <c r="V4" s="19"/>
      <c r="W4" s="19"/>
    </row>
    <row r="5" spans="1:23" s="1" customFormat="1" ht="15" customHeight="1" x14ac:dyDescent="0.25">
      <c r="A5" s="8"/>
      <c r="B5" s="8"/>
      <c r="C5" s="61" t="s">
        <v>36</v>
      </c>
      <c r="D5" s="61"/>
      <c r="E5" s="61"/>
      <c r="F5" s="61"/>
      <c r="G5" s="61"/>
      <c r="H5" s="8"/>
      <c r="I5" s="8"/>
      <c r="J5" s="47"/>
      <c r="K5" s="47"/>
      <c r="L5" s="47"/>
      <c r="M5" s="47"/>
      <c r="N5" s="47"/>
      <c r="O5" s="47"/>
      <c r="P5" s="8"/>
      <c r="Q5" s="8"/>
      <c r="R5" s="19"/>
      <c r="S5" s="19"/>
      <c r="T5" s="19"/>
      <c r="U5" s="19"/>
      <c r="V5" s="19"/>
      <c r="W5" s="19"/>
    </row>
    <row r="6" spans="1:23" x14ac:dyDescent="0.3">
      <c r="A6" s="8"/>
      <c r="B6" s="8"/>
      <c r="C6" s="8"/>
      <c r="D6" s="8"/>
      <c r="E6" s="8"/>
      <c r="F6" s="8"/>
      <c r="G6" s="8"/>
      <c r="H6" s="8"/>
      <c r="I6" s="8"/>
      <c r="J6" s="47"/>
      <c r="K6" s="47"/>
      <c r="L6" s="47"/>
      <c r="M6" s="47"/>
      <c r="N6" s="47"/>
      <c r="O6" s="47"/>
      <c r="P6" s="8"/>
      <c r="Q6" s="8"/>
      <c r="R6" s="19"/>
      <c r="S6" s="19"/>
      <c r="T6" s="19"/>
      <c r="U6" s="19"/>
      <c r="V6" s="19"/>
      <c r="W6" s="19"/>
    </row>
    <row r="7" spans="1:23" ht="15" customHeight="1" x14ac:dyDescent="0.3">
      <c r="A7" s="8"/>
      <c r="B7" s="60" t="s">
        <v>0</v>
      </c>
      <c r="C7" s="60"/>
      <c r="D7" s="60"/>
      <c r="E7" s="60"/>
      <c r="F7" s="60"/>
      <c r="G7" s="60"/>
      <c r="H7" s="60"/>
      <c r="I7" s="8"/>
      <c r="J7" s="47"/>
      <c r="K7" s="47"/>
      <c r="L7" s="47"/>
      <c r="M7" s="47"/>
      <c r="N7" s="47"/>
      <c r="O7" s="47"/>
      <c r="P7" s="8"/>
      <c r="Q7" s="8"/>
      <c r="R7" s="19"/>
      <c r="S7" s="19"/>
      <c r="T7" s="19"/>
      <c r="U7" s="19"/>
      <c r="V7" s="19"/>
      <c r="W7" s="19"/>
    </row>
    <row r="8" spans="1:23" x14ac:dyDescent="0.3">
      <c r="A8" s="8"/>
      <c r="B8" s="9" t="s">
        <v>1</v>
      </c>
      <c r="C8" s="9" t="s">
        <v>2</v>
      </c>
      <c r="D8" s="9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8"/>
      <c r="J8" s="19"/>
      <c r="K8" s="19"/>
      <c r="L8" s="19"/>
      <c r="M8" s="19"/>
      <c r="N8" s="19"/>
      <c r="O8" s="19"/>
      <c r="P8" s="8"/>
      <c r="Q8" s="8"/>
      <c r="R8" s="19"/>
      <c r="S8" s="19"/>
      <c r="T8" s="19"/>
      <c r="U8" s="19"/>
      <c r="V8" s="19"/>
      <c r="W8" s="19"/>
    </row>
    <row r="9" spans="1:23" x14ac:dyDescent="0.3">
      <c r="A9" s="8"/>
      <c r="B9" s="11">
        <v>41620</v>
      </c>
      <c r="C9" s="11">
        <v>42788</v>
      </c>
      <c r="D9" s="9" t="s">
        <v>16</v>
      </c>
      <c r="E9" s="12">
        <f>(61667) *30</f>
        <v>1850010</v>
      </c>
      <c r="F9" s="13">
        <f>(E9)+(9584)+((61667)*(30)*(24)/180)+((61667)*30*(30)/360)</f>
        <v>2260429.5</v>
      </c>
      <c r="G9" s="14">
        <f t="shared" ref="G9:G11" si="0">F9-E9</f>
        <v>410419.5</v>
      </c>
      <c r="H9" s="14">
        <f t="shared" ref="H9:H11" si="1">G9/30</f>
        <v>13680.65</v>
      </c>
      <c r="I9" s="8"/>
      <c r="J9" s="47" t="s">
        <v>17</v>
      </c>
      <c r="K9" s="47"/>
      <c r="L9" s="47"/>
      <c r="M9" s="47"/>
      <c r="N9" s="47"/>
      <c r="O9" s="47"/>
      <c r="P9" s="8"/>
      <c r="Q9" s="8"/>
      <c r="R9" s="19"/>
      <c r="S9" s="19"/>
      <c r="T9" s="19"/>
      <c r="U9" s="19"/>
      <c r="V9" s="19"/>
      <c r="W9" s="19"/>
    </row>
    <row r="10" spans="1:23" x14ac:dyDescent="0.3">
      <c r="A10" s="8"/>
      <c r="B10" s="11">
        <v>42816</v>
      </c>
      <c r="C10" s="11">
        <v>43228</v>
      </c>
      <c r="D10" s="9" t="s">
        <v>16</v>
      </c>
      <c r="E10" s="12">
        <f>79225*30</f>
        <v>2376750</v>
      </c>
      <c r="F10" s="13">
        <f>(E10)+(9584)+((79225)*(30)*(24)/180)+((79225)*30*(30)/360)</f>
        <v>2901296.5</v>
      </c>
      <c r="G10" s="14">
        <f t="shared" si="0"/>
        <v>524546.5</v>
      </c>
      <c r="H10" s="14">
        <f t="shared" si="1"/>
        <v>17484.883333333335</v>
      </c>
      <c r="I10" s="8"/>
      <c r="J10" s="47"/>
      <c r="K10" s="47"/>
      <c r="L10" s="47"/>
      <c r="M10" s="47"/>
      <c r="N10" s="47"/>
      <c r="O10" s="47"/>
      <c r="P10" s="8"/>
      <c r="Q10" s="8"/>
      <c r="R10" s="19"/>
      <c r="S10" s="19"/>
      <c r="T10" s="19"/>
      <c r="U10" s="19"/>
      <c r="V10" s="19"/>
      <c r="W10" s="19"/>
    </row>
    <row r="11" spans="1:23" x14ac:dyDescent="0.3">
      <c r="A11" s="8"/>
      <c r="B11" s="11">
        <v>43502</v>
      </c>
      <c r="C11" s="11">
        <v>43530</v>
      </c>
      <c r="D11" s="9" t="s">
        <v>16</v>
      </c>
      <c r="E11" s="12">
        <f>91268*30</f>
        <v>2738040</v>
      </c>
      <c r="F11" s="22">
        <f>(E11)+(9584)+((91268)*(30)*(24)/180)+((91268)*30*(30)/360)</f>
        <v>3340866</v>
      </c>
      <c r="G11" s="14">
        <f t="shared" si="0"/>
        <v>602826</v>
      </c>
      <c r="H11" s="14">
        <f t="shared" si="1"/>
        <v>20094.2</v>
      </c>
      <c r="I11" s="8"/>
      <c r="J11" s="19"/>
      <c r="K11" s="19"/>
      <c r="L11" s="19"/>
      <c r="M11" s="19"/>
      <c r="N11" s="19"/>
      <c r="O11" s="19"/>
      <c r="P11" s="8"/>
      <c r="Q11" s="8"/>
      <c r="R11" s="19"/>
      <c r="S11" s="19"/>
      <c r="T11" s="19"/>
      <c r="U11" s="19"/>
      <c r="V11" s="19"/>
      <c r="W11" s="19"/>
    </row>
    <row r="12" spans="1:23" x14ac:dyDescent="0.3">
      <c r="A12" s="8"/>
      <c r="B12" s="8"/>
      <c r="C12" s="8"/>
      <c r="D12" s="8"/>
      <c r="E12" s="8"/>
      <c r="F12" s="8"/>
      <c r="G12" s="8"/>
      <c r="H12" s="8"/>
      <c r="I12" s="8"/>
      <c r="J12" s="19"/>
      <c r="K12" s="19"/>
      <c r="L12" s="19"/>
      <c r="M12" s="19"/>
      <c r="N12" s="19"/>
      <c r="O12" s="19"/>
      <c r="P12" s="8"/>
      <c r="Q12" s="8"/>
      <c r="R12" s="19"/>
      <c r="S12" s="19"/>
      <c r="T12" s="19"/>
      <c r="U12" s="19"/>
      <c r="V12" s="19"/>
      <c r="W12" s="19"/>
    </row>
    <row r="13" spans="1:23" x14ac:dyDescent="0.3">
      <c r="A13" s="8"/>
      <c r="B13" s="3" t="s">
        <v>1</v>
      </c>
      <c r="C13" s="2" t="s">
        <v>2</v>
      </c>
      <c r="D13" s="2" t="s">
        <v>3</v>
      </c>
      <c r="E13" s="3" t="s">
        <v>8</v>
      </c>
      <c r="F13" s="3" t="s">
        <v>9</v>
      </c>
      <c r="G13" s="18"/>
      <c r="H13" s="8"/>
      <c r="I13" s="8"/>
      <c r="J13" s="19"/>
      <c r="K13" s="19"/>
      <c r="L13" s="19"/>
      <c r="M13" s="19"/>
      <c r="N13" s="19"/>
      <c r="O13" s="19"/>
      <c r="P13" s="8"/>
      <c r="Q13" s="8"/>
      <c r="R13" s="19"/>
      <c r="S13" s="19"/>
      <c r="T13" s="19"/>
      <c r="U13" s="19"/>
      <c r="V13" s="19"/>
      <c r="W13" s="19"/>
    </row>
    <row r="14" spans="1:23" x14ac:dyDescent="0.3">
      <c r="A14" s="8"/>
      <c r="B14" s="69">
        <v>42789</v>
      </c>
      <c r="C14" s="69">
        <v>42815</v>
      </c>
      <c r="D14" s="9" t="s">
        <v>16</v>
      </c>
      <c r="E14" s="5">
        <f t="shared" ref="E14:E15" si="2">DAYS360(B14,C14)+1</f>
        <v>29</v>
      </c>
      <c r="F14" s="14">
        <f>H9*E14</f>
        <v>396738.85</v>
      </c>
      <c r="G14" s="70" t="s">
        <v>37</v>
      </c>
      <c r="H14" s="71"/>
      <c r="I14" s="8"/>
      <c r="J14" s="19"/>
      <c r="K14" s="19"/>
      <c r="L14" s="19"/>
      <c r="M14" s="19"/>
      <c r="N14" s="19"/>
      <c r="O14" s="19"/>
      <c r="P14" s="8"/>
      <c r="Q14" s="8"/>
      <c r="R14" s="19"/>
      <c r="S14" s="19"/>
      <c r="T14" s="19"/>
      <c r="U14" s="19"/>
      <c r="V14" s="19"/>
      <c r="W14" s="19"/>
    </row>
    <row r="15" spans="1:23" x14ac:dyDescent="0.3">
      <c r="A15" s="8"/>
      <c r="B15" s="69">
        <v>43229</v>
      </c>
      <c r="C15" s="69">
        <v>43465</v>
      </c>
      <c r="D15" s="9" t="s">
        <v>16</v>
      </c>
      <c r="E15" s="5">
        <f t="shared" si="2"/>
        <v>233</v>
      </c>
      <c r="F15" s="14">
        <f>H10*E15</f>
        <v>4073977.8166666669</v>
      </c>
      <c r="G15" s="70"/>
      <c r="H15" s="71"/>
      <c r="I15" s="19"/>
      <c r="J15" s="19"/>
      <c r="K15" s="19"/>
      <c r="L15" s="19"/>
      <c r="M15" s="19"/>
      <c r="N15" s="19"/>
      <c r="O15" s="19"/>
      <c r="P15" s="8"/>
      <c r="Q15" s="8"/>
    </row>
    <row r="16" spans="1:23" ht="15.75" customHeight="1" x14ac:dyDescent="0.3">
      <c r="A16" s="8"/>
      <c r="B16" s="62" t="s">
        <v>10</v>
      </c>
      <c r="C16" s="63"/>
      <c r="D16" s="63"/>
      <c r="E16" s="63"/>
      <c r="F16" s="15">
        <f>SUM(F14:F15)</f>
        <v>4470716.666666667</v>
      </c>
      <c r="G16" s="70"/>
      <c r="H16" s="71"/>
      <c r="I16" s="8"/>
      <c r="J16" s="19"/>
      <c r="K16" s="19"/>
      <c r="L16" s="19"/>
      <c r="M16" s="19"/>
      <c r="N16" s="19"/>
      <c r="O16" s="19"/>
      <c r="P16" s="8"/>
      <c r="Q16" s="8"/>
    </row>
    <row r="17" spans="1:17" ht="15.7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19"/>
      <c r="K17" s="19"/>
      <c r="L17" s="19"/>
      <c r="M17" s="19"/>
      <c r="N17" s="19"/>
      <c r="O17" s="19"/>
      <c r="P17" s="8"/>
      <c r="Q17" s="8"/>
    </row>
    <row r="18" spans="1:17" ht="15.75" customHeight="1" x14ac:dyDescent="0.3">
      <c r="A18" s="8"/>
      <c r="B18" s="3" t="s">
        <v>1</v>
      </c>
      <c r="C18" s="3" t="s">
        <v>2</v>
      </c>
      <c r="D18" s="3" t="s">
        <v>7</v>
      </c>
      <c r="E18" s="3" t="s">
        <v>8</v>
      </c>
      <c r="F18" s="4" t="s">
        <v>11</v>
      </c>
      <c r="G18" s="8"/>
      <c r="H18" s="19"/>
      <c r="I18" s="19"/>
      <c r="J18" s="19"/>
      <c r="K18" s="19"/>
      <c r="L18" s="19"/>
      <c r="M18" s="19"/>
      <c r="N18" s="8"/>
      <c r="O18" s="8"/>
    </row>
    <row r="19" spans="1:17" ht="15.75" customHeight="1" x14ac:dyDescent="0.3">
      <c r="A19" s="8"/>
      <c r="B19" s="11">
        <v>41620</v>
      </c>
      <c r="C19" s="11">
        <v>41639</v>
      </c>
      <c r="D19" s="14">
        <v>273613</v>
      </c>
      <c r="E19" s="5">
        <f t="shared" ref="E19:E29" si="3">DAYS360(B19,C19)+1</f>
        <v>20</v>
      </c>
      <c r="F19" s="6">
        <f t="shared" ref="F19:F29" si="4">(D19*E19)/360</f>
        <v>15200.722222222223</v>
      </c>
      <c r="G19" s="8"/>
      <c r="H19" s="8"/>
      <c r="I19" s="8"/>
      <c r="J19" s="8"/>
      <c r="K19" s="8"/>
      <c r="L19" s="8"/>
      <c r="M19" s="8"/>
      <c r="N19" s="8"/>
      <c r="O19" s="8"/>
    </row>
    <row r="20" spans="1:17" ht="15.75" customHeight="1" x14ac:dyDescent="0.3">
      <c r="A20" s="8"/>
      <c r="B20" s="11">
        <v>41640</v>
      </c>
      <c r="C20" s="11">
        <v>42004</v>
      </c>
      <c r="D20" s="14">
        <v>4925034</v>
      </c>
      <c r="E20" s="5">
        <f>DAYS360(B20,C20)</f>
        <v>360</v>
      </c>
      <c r="F20" s="6">
        <f t="shared" si="4"/>
        <v>4925034</v>
      </c>
      <c r="G20" s="8"/>
      <c r="H20" s="8"/>
      <c r="I20" s="8"/>
      <c r="J20" s="8"/>
      <c r="K20" s="8"/>
      <c r="L20" s="8"/>
      <c r="M20" s="8"/>
      <c r="N20" s="8"/>
      <c r="O20" s="8"/>
    </row>
    <row r="21" spans="1:17" ht="15.75" customHeight="1" x14ac:dyDescent="0.3">
      <c r="A21" s="8"/>
      <c r="B21" s="11">
        <v>42005</v>
      </c>
      <c r="C21" s="11">
        <v>42369</v>
      </c>
      <c r="D21" s="14">
        <v>4925034</v>
      </c>
      <c r="E21" s="5">
        <f>DAYS360(B21,C21)</f>
        <v>360</v>
      </c>
      <c r="F21" s="6">
        <f t="shared" si="4"/>
        <v>4925034</v>
      </c>
      <c r="G21" s="70" t="s">
        <v>38</v>
      </c>
      <c r="H21" s="71"/>
      <c r="I21" s="8"/>
      <c r="J21" s="8"/>
      <c r="K21" s="8"/>
      <c r="L21" s="8"/>
      <c r="M21" s="8"/>
      <c r="N21" s="8"/>
      <c r="O21" s="8"/>
    </row>
    <row r="22" spans="1:17" ht="15.75" customHeight="1" x14ac:dyDescent="0.3">
      <c r="A22" s="8"/>
      <c r="B22" s="11">
        <v>42705</v>
      </c>
      <c r="C22" s="11">
        <v>42735</v>
      </c>
      <c r="D22" s="14">
        <v>424100.14999999997</v>
      </c>
      <c r="E22" s="5">
        <f t="shared" si="3"/>
        <v>31</v>
      </c>
      <c r="F22" s="6">
        <f t="shared" si="4"/>
        <v>36519.735138888886</v>
      </c>
      <c r="G22" s="70"/>
      <c r="H22" s="71"/>
      <c r="I22" s="8"/>
      <c r="J22" s="8"/>
      <c r="K22" s="8"/>
      <c r="L22" s="8"/>
      <c r="M22" s="8"/>
      <c r="N22" s="8"/>
      <c r="O22" s="8"/>
    </row>
    <row r="23" spans="1:17" ht="15.75" customHeight="1" x14ac:dyDescent="0.3">
      <c r="A23" s="8"/>
      <c r="B23" s="11">
        <v>42736</v>
      </c>
      <c r="C23" s="11">
        <v>42788</v>
      </c>
      <c r="D23" s="14">
        <v>711393.79999999993</v>
      </c>
      <c r="E23" s="5">
        <f t="shared" si="3"/>
        <v>52</v>
      </c>
      <c r="F23" s="6">
        <f t="shared" si="4"/>
        <v>102756.88222222221</v>
      </c>
      <c r="G23" s="70"/>
      <c r="H23" s="71"/>
      <c r="I23" s="8"/>
      <c r="J23" s="8"/>
      <c r="K23" s="8"/>
      <c r="L23" s="8"/>
      <c r="M23" s="8"/>
      <c r="N23" s="8"/>
      <c r="O23" s="8"/>
    </row>
    <row r="24" spans="1:17" ht="15.75" customHeight="1" x14ac:dyDescent="0.3">
      <c r="A24" s="8"/>
      <c r="B24" s="25">
        <v>42789</v>
      </c>
      <c r="C24" s="25">
        <v>42815</v>
      </c>
      <c r="D24" s="14">
        <v>396738.85</v>
      </c>
      <c r="E24" s="5">
        <f t="shared" si="3"/>
        <v>29</v>
      </c>
      <c r="F24" s="6">
        <f t="shared" si="4"/>
        <v>31959.518472222218</v>
      </c>
      <c r="G24" s="8"/>
      <c r="H24" s="8"/>
      <c r="I24" s="8"/>
      <c r="J24" s="8"/>
      <c r="K24" s="8"/>
      <c r="L24" s="8"/>
      <c r="M24" s="8"/>
      <c r="N24" s="8"/>
      <c r="O24" s="8"/>
    </row>
    <row r="25" spans="1:17" ht="15.75" customHeight="1" x14ac:dyDescent="0.3">
      <c r="A25" s="8"/>
      <c r="B25" s="23">
        <v>42816</v>
      </c>
      <c r="C25" s="23">
        <v>43100</v>
      </c>
      <c r="D25" s="14">
        <v>4895767.333333334</v>
      </c>
      <c r="E25" s="5">
        <f t="shared" si="3"/>
        <v>280</v>
      </c>
      <c r="F25" s="6">
        <f t="shared" si="4"/>
        <v>3807819.0370370373</v>
      </c>
      <c r="G25" s="8"/>
      <c r="H25" s="8"/>
      <c r="I25" s="8"/>
      <c r="J25" s="8"/>
      <c r="K25" s="8"/>
      <c r="L25" s="8"/>
      <c r="M25" s="8"/>
      <c r="N25" s="8"/>
      <c r="O25" s="8"/>
    </row>
    <row r="26" spans="1:17" ht="15.75" customHeight="1" x14ac:dyDescent="0.3">
      <c r="A26" s="8"/>
      <c r="B26" s="11">
        <v>43101</v>
      </c>
      <c r="C26" s="11">
        <v>43228</v>
      </c>
      <c r="D26" s="14">
        <v>2238065.0666666669</v>
      </c>
      <c r="E26" s="5">
        <f t="shared" si="3"/>
        <v>128</v>
      </c>
      <c r="F26" s="6">
        <f t="shared" si="4"/>
        <v>795756.46814814827</v>
      </c>
      <c r="G26" s="8"/>
      <c r="H26" s="8"/>
      <c r="I26" s="8"/>
      <c r="J26" s="8"/>
      <c r="K26" s="8"/>
      <c r="L26" s="8"/>
      <c r="M26" s="8"/>
      <c r="N26" s="8"/>
      <c r="O26" s="8"/>
    </row>
    <row r="27" spans="1:17" ht="15.75" customHeight="1" x14ac:dyDescent="0.3">
      <c r="A27" s="8"/>
      <c r="B27" s="25">
        <v>43229</v>
      </c>
      <c r="C27" s="25">
        <v>43465</v>
      </c>
      <c r="D27" s="14">
        <v>4073977.8166666669</v>
      </c>
      <c r="E27" s="5">
        <f t="shared" si="3"/>
        <v>233</v>
      </c>
      <c r="F27" s="6">
        <f t="shared" si="4"/>
        <v>2636768.9757870371</v>
      </c>
      <c r="G27" s="8"/>
      <c r="H27" s="8"/>
      <c r="I27" s="8"/>
      <c r="J27" s="8"/>
      <c r="K27" s="8"/>
      <c r="L27" s="8"/>
      <c r="M27" s="8"/>
      <c r="N27" s="8"/>
      <c r="O27" s="8"/>
    </row>
    <row r="28" spans="1:17" ht="15.75" customHeight="1" x14ac:dyDescent="0.3">
      <c r="A28" s="8"/>
      <c r="B28" s="11">
        <v>43466</v>
      </c>
      <c r="C28" s="11">
        <v>43497</v>
      </c>
      <c r="D28" s="14">
        <v>542031.38333333342</v>
      </c>
      <c r="E28" s="5">
        <f t="shared" si="3"/>
        <v>31</v>
      </c>
      <c r="F28" s="6">
        <f t="shared" si="4"/>
        <v>46674.924675925933</v>
      </c>
      <c r="G28" s="8"/>
      <c r="H28" s="8"/>
      <c r="I28" s="8"/>
      <c r="J28" s="8"/>
      <c r="K28" s="8"/>
      <c r="L28" s="8"/>
      <c r="M28" s="8"/>
      <c r="N28" s="8"/>
      <c r="O28" s="8"/>
    </row>
    <row r="29" spans="1:17" ht="15.75" customHeight="1" x14ac:dyDescent="0.3">
      <c r="A29" s="8"/>
      <c r="B29" s="23">
        <v>43502</v>
      </c>
      <c r="C29" s="23">
        <v>43530</v>
      </c>
      <c r="D29" s="14">
        <v>622920.20000000007</v>
      </c>
      <c r="E29" s="5">
        <f t="shared" si="3"/>
        <v>31</v>
      </c>
      <c r="F29" s="6">
        <f t="shared" si="4"/>
        <v>53640.35055555556</v>
      </c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7" ht="15.75" customHeight="1" x14ac:dyDescent="0.3">
      <c r="A30" s="8"/>
      <c r="B30" s="59" t="s">
        <v>10</v>
      </c>
      <c r="C30" s="59"/>
      <c r="D30" s="59"/>
      <c r="E30" s="59"/>
      <c r="F30" s="7">
        <f>SUM(F19:F29)</f>
        <v>17377164.614259258</v>
      </c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7" ht="15.75" customHeigh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7" ht="15.75" customHeight="1" x14ac:dyDescent="0.3">
      <c r="A32" s="8"/>
      <c r="B32" s="3" t="s">
        <v>1</v>
      </c>
      <c r="C32" s="3" t="s">
        <v>2</v>
      </c>
      <c r="D32" s="3" t="s">
        <v>7</v>
      </c>
      <c r="E32" s="3" t="s">
        <v>8</v>
      </c>
      <c r="F32" s="4" t="s">
        <v>12</v>
      </c>
      <c r="G32" s="8"/>
      <c r="H32" s="8"/>
      <c r="I32" s="8"/>
      <c r="J32" s="8"/>
      <c r="K32" s="8"/>
    </row>
    <row r="33" spans="1:14" ht="15.75" customHeight="1" x14ac:dyDescent="0.3">
      <c r="A33" s="8"/>
      <c r="B33" s="11">
        <v>41620</v>
      </c>
      <c r="C33" s="11">
        <v>41639</v>
      </c>
      <c r="D33" s="14">
        <v>273613</v>
      </c>
      <c r="E33" s="5">
        <f t="shared" ref="E33" si="5">DAYS360(B33,C33)+1</f>
        <v>20</v>
      </c>
      <c r="F33" s="6">
        <f>(D33*E33)/360</f>
        <v>15200.722222222223</v>
      </c>
      <c r="G33" s="8"/>
      <c r="H33" s="8"/>
      <c r="I33" s="8"/>
      <c r="J33" s="8"/>
      <c r="K33" s="8"/>
    </row>
    <row r="34" spans="1:14" ht="15.75" customHeight="1" x14ac:dyDescent="0.3">
      <c r="A34" s="8"/>
      <c r="B34" s="11">
        <v>41640</v>
      </c>
      <c r="C34" s="11">
        <v>42004</v>
      </c>
      <c r="D34" s="14">
        <v>4925034</v>
      </c>
      <c r="E34" s="5">
        <f>DAYS360(B34,C34)</f>
        <v>360</v>
      </c>
      <c r="F34" s="6">
        <f t="shared" ref="F34:F43" si="6">(D34*E34)/360</f>
        <v>4925034</v>
      </c>
      <c r="G34" s="8"/>
      <c r="H34" s="8"/>
      <c r="I34" s="8"/>
      <c r="J34" s="8"/>
      <c r="K34" s="8"/>
    </row>
    <row r="35" spans="1:14" ht="15.75" customHeight="1" x14ac:dyDescent="0.3">
      <c r="A35" s="8"/>
      <c r="B35" s="11">
        <v>42005</v>
      </c>
      <c r="C35" s="11">
        <v>42369</v>
      </c>
      <c r="D35" s="14">
        <v>4925034</v>
      </c>
      <c r="E35" s="5">
        <f>DAYS360(B35,C35)</f>
        <v>360</v>
      </c>
      <c r="F35" s="6">
        <f t="shared" si="6"/>
        <v>4925034</v>
      </c>
      <c r="G35" s="8"/>
      <c r="H35" s="8"/>
      <c r="I35" s="8"/>
    </row>
    <row r="36" spans="1:14" ht="15.75" customHeight="1" x14ac:dyDescent="0.3">
      <c r="A36" s="8"/>
      <c r="B36" s="11">
        <v>42705</v>
      </c>
      <c r="C36" s="11">
        <v>42735</v>
      </c>
      <c r="D36" s="14">
        <v>424100.14999999997</v>
      </c>
      <c r="E36" s="5">
        <f t="shared" ref="E36:E43" si="7">DAYS360(B36,C36)+1</f>
        <v>31</v>
      </c>
      <c r="F36" s="6">
        <f t="shared" si="6"/>
        <v>36519.735138888886</v>
      </c>
      <c r="G36" s="8"/>
      <c r="H36" s="8"/>
      <c r="I36" s="8"/>
    </row>
    <row r="37" spans="1:14" ht="15.75" customHeight="1" x14ac:dyDescent="0.3">
      <c r="A37" s="8"/>
      <c r="B37" s="11">
        <v>42736</v>
      </c>
      <c r="C37" s="11">
        <v>42788</v>
      </c>
      <c r="D37" s="14">
        <v>711393.79999999993</v>
      </c>
      <c r="E37" s="5">
        <f t="shared" si="7"/>
        <v>52</v>
      </c>
      <c r="F37" s="6">
        <f t="shared" si="6"/>
        <v>102756.88222222221</v>
      </c>
      <c r="G37" s="8"/>
      <c r="H37" s="8"/>
      <c r="I37" s="8"/>
    </row>
    <row r="38" spans="1:14" ht="15.75" customHeight="1" x14ac:dyDescent="0.3">
      <c r="A38" s="8"/>
      <c r="B38" s="25">
        <v>42789</v>
      </c>
      <c r="C38" s="25">
        <v>42815</v>
      </c>
      <c r="D38" s="14">
        <v>396738.85</v>
      </c>
      <c r="E38" s="5">
        <f t="shared" si="7"/>
        <v>29</v>
      </c>
      <c r="F38" s="6">
        <f t="shared" si="6"/>
        <v>31959.518472222218</v>
      </c>
      <c r="G38" s="8"/>
      <c r="H38" s="8"/>
      <c r="I38" s="8"/>
    </row>
    <row r="39" spans="1:14" ht="15.75" customHeight="1" x14ac:dyDescent="0.3">
      <c r="A39" s="8"/>
      <c r="B39" s="23">
        <v>42816</v>
      </c>
      <c r="C39" s="23">
        <v>43100</v>
      </c>
      <c r="D39" s="14">
        <v>4895767.333333334</v>
      </c>
      <c r="E39" s="5">
        <f t="shared" si="7"/>
        <v>280</v>
      </c>
      <c r="F39" s="6">
        <f t="shared" si="6"/>
        <v>3807819.0370370373</v>
      </c>
      <c r="G39" s="8"/>
      <c r="H39" s="8"/>
      <c r="I39" s="8"/>
    </row>
    <row r="40" spans="1:14" ht="15.75" customHeight="1" x14ac:dyDescent="0.3">
      <c r="A40" s="8"/>
      <c r="B40" s="11">
        <v>43101</v>
      </c>
      <c r="C40" s="11">
        <v>43228</v>
      </c>
      <c r="D40" s="14">
        <v>2238065.0666666669</v>
      </c>
      <c r="E40" s="5">
        <f t="shared" si="7"/>
        <v>128</v>
      </c>
      <c r="F40" s="6">
        <f t="shared" si="6"/>
        <v>795756.46814814827</v>
      </c>
      <c r="G40" s="8"/>
      <c r="H40" s="8"/>
      <c r="I40" s="8"/>
      <c r="J40" s="8"/>
      <c r="K40" s="8"/>
    </row>
    <row r="41" spans="1:14" ht="15.75" customHeight="1" x14ac:dyDescent="0.3">
      <c r="A41" s="8"/>
      <c r="B41" s="25">
        <v>43229</v>
      </c>
      <c r="C41" s="25">
        <v>43465</v>
      </c>
      <c r="D41" s="14">
        <v>4073977.8166666669</v>
      </c>
      <c r="E41" s="5">
        <f t="shared" si="7"/>
        <v>233</v>
      </c>
      <c r="F41" s="6">
        <f t="shared" si="6"/>
        <v>2636768.9757870371</v>
      </c>
      <c r="G41" s="8"/>
      <c r="H41" s="8"/>
      <c r="I41" s="8"/>
      <c r="J41" s="8"/>
      <c r="K41" s="8"/>
    </row>
    <row r="42" spans="1:14" ht="15.75" customHeight="1" x14ac:dyDescent="0.3">
      <c r="A42" s="8"/>
      <c r="B42" s="11">
        <v>43466</v>
      </c>
      <c r="C42" s="11">
        <v>43497</v>
      </c>
      <c r="D42" s="14">
        <v>542031.38333333342</v>
      </c>
      <c r="E42" s="5">
        <f t="shared" si="7"/>
        <v>31</v>
      </c>
      <c r="F42" s="6">
        <f t="shared" si="6"/>
        <v>46674.924675925933</v>
      </c>
      <c r="G42" s="8"/>
      <c r="H42" s="8"/>
      <c r="I42" s="8"/>
      <c r="J42" s="8"/>
      <c r="K42" s="8"/>
    </row>
    <row r="43" spans="1:14" ht="15.75" customHeight="1" x14ac:dyDescent="0.3">
      <c r="A43" s="8"/>
      <c r="B43" s="23">
        <v>43502</v>
      </c>
      <c r="C43" s="23">
        <v>43530</v>
      </c>
      <c r="D43" s="14">
        <v>622920.20000000007</v>
      </c>
      <c r="E43" s="5">
        <f t="shared" si="7"/>
        <v>31</v>
      </c>
      <c r="F43" s="6">
        <f t="shared" si="6"/>
        <v>53640.35055555556</v>
      </c>
      <c r="G43" s="8"/>
      <c r="H43" s="8"/>
      <c r="I43" s="8"/>
      <c r="J43" s="8"/>
      <c r="K43" s="8"/>
    </row>
    <row r="44" spans="1:14" ht="15.75" customHeight="1" x14ac:dyDescent="0.3">
      <c r="A44" s="8"/>
      <c r="B44" s="59" t="s">
        <v>10</v>
      </c>
      <c r="C44" s="59"/>
      <c r="D44" s="59"/>
      <c r="E44" s="59"/>
      <c r="F44" s="7">
        <f>SUM(F33:F43)</f>
        <v>17377164.614259258</v>
      </c>
      <c r="G44" s="8"/>
      <c r="H44" s="8"/>
      <c r="I44" s="8"/>
      <c r="J44" s="8"/>
      <c r="K44" s="8"/>
    </row>
    <row r="45" spans="1:14" ht="15.75" customHeigh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t="15.75" customHeight="1" x14ac:dyDescent="0.3">
      <c r="A46" s="8"/>
      <c r="B46" s="3" t="s">
        <v>1</v>
      </c>
      <c r="C46" s="3" t="s">
        <v>2</v>
      </c>
      <c r="D46" s="3" t="s">
        <v>12</v>
      </c>
      <c r="E46" s="3" t="s">
        <v>8</v>
      </c>
      <c r="F46" s="4" t="s">
        <v>13</v>
      </c>
      <c r="G46" s="8"/>
      <c r="H46" s="8"/>
      <c r="I46" s="8"/>
      <c r="J46" s="8"/>
      <c r="K46" s="8"/>
      <c r="L46" s="8"/>
      <c r="M46" s="8"/>
    </row>
    <row r="47" spans="1:14" ht="15.75" customHeight="1" x14ac:dyDescent="0.3">
      <c r="A47" s="8"/>
      <c r="B47" s="11">
        <v>41620</v>
      </c>
      <c r="C47" s="11">
        <v>41639</v>
      </c>
      <c r="D47" s="24">
        <f>F33</f>
        <v>15200.722222222223</v>
      </c>
      <c r="E47" s="5">
        <f t="shared" ref="E47" si="8">DAYS360(B47,C47)+1</f>
        <v>20</v>
      </c>
      <c r="F47" s="21">
        <f t="shared" ref="F47:F57" si="9">(D47*E47*0.12)/360</f>
        <v>101.33814814814814</v>
      </c>
      <c r="G47" s="8"/>
      <c r="H47" s="8"/>
      <c r="I47" s="8"/>
      <c r="J47" s="8"/>
      <c r="K47" s="8"/>
      <c r="L47" s="8"/>
      <c r="M47" s="8"/>
    </row>
    <row r="48" spans="1:14" ht="15.75" customHeight="1" x14ac:dyDescent="0.3">
      <c r="A48" s="8"/>
      <c r="B48" s="11">
        <v>41640</v>
      </c>
      <c r="C48" s="11">
        <v>42004</v>
      </c>
      <c r="D48" s="24">
        <f t="shared" ref="D48:D57" si="10">F34</f>
        <v>4925034</v>
      </c>
      <c r="E48" s="5">
        <f>DAYS360(B48,C48)</f>
        <v>360</v>
      </c>
      <c r="F48" s="21">
        <f t="shared" si="9"/>
        <v>591004.07999999996</v>
      </c>
      <c r="G48" s="8"/>
      <c r="H48" s="8"/>
      <c r="I48" s="8"/>
      <c r="J48" s="8"/>
      <c r="K48" s="8"/>
      <c r="L48" s="8"/>
      <c r="M48" s="8"/>
    </row>
    <row r="49" spans="1:14" ht="15.75" customHeight="1" x14ac:dyDescent="0.3">
      <c r="A49" s="8"/>
      <c r="B49" s="11">
        <v>42005</v>
      </c>
      <c r="C49" s="11">
        <v>42369</v>
      </c>
      <c r="D49" s="24">
        <f t="shared" si="10"/>
        <v>4925034</v>
      </c>
      <c r="E49" s="5">
        <f>DAYS360(B49,C49)</f>
        <v>360</v>
      </c>
      <c r="F49" s="21">
        <f t="shared" si="9"/>
        <v>591004.07999999996</v>
      </c>
      <c r="G49" s="8"/>
      <c r="H49" s="8"/>
      <c r="I49" s="8"/>
      <c r="J49" s="8"/>
      <c r="K49" s="8"/>
      <c r="L49" s="8"/>
      <c r="M49" s="8"/>
    </row>
    <row r="50" spans="1:14" ht="15" customHeight="1" x14ac:dyDescent="0.3">
      <c r="A50" s="8"/>
      <c r="B50" s="11">
        <v>42705</v>
      </c>
      <c r="C50" s="11">
        <v>42735</v>
      </c>
      <c r="D50" s="24">
        <f t="shared" si="10"/>
        <v>36519.735138888886</v>
      </c>
      <c r="E50" s="5">
        <f t="shared" ref="E50:E57" si="11">DAYS360(B50,C50)+1</f>
        <v>31</v>
      </c>
      <c r="F50" s="21">
        <f t="shared" si="9"/>
        <v>377.37059643518512</v>
      </c>
      <c r="G50" s="8"/>
      <c r="H50" s="8"/>
      <c r="I50" s="8"/>
      <c r="J50" s="8"/>
      <c r="K50" s="8"/>
      <c r="L50" s="8"/>
      <c r="M50" s="8"/>
    </row>
    <row r="51" spans="1:14" ht="15" customHeight="1" x14ac:dyDescent="0.3">
      <c r="A51" s="8"/>
      <c r="B51" s="11">
        <v>42736</v>
      </c>
      <c r="C51" s="11">
        <v>42788</v>
      </c>
      <c r="D51" s="24">
        <f t="shared" si="10"/>
        <v>102756.88222222221</v>
      </c>
      <c r="E51" s="5">
        <f t="shared" si="11"/>
        <v>52</v>
      </c>
      <c r="F51" s="21">
        <f t="shared" si="9"/>
        <v>1781.1192918518514</v>
      </c>
      <c r="G51" s="8"/>
      <c r="H51" s="8"/>
      <c r="I51" s="8"/>
      <c r="J51" s="8"/>
      <c r="K51" s="8"/>
      <c r="L51" s="8"/>
      <c r="M51" s="8"/>
    </row>
    <row r="52" spans="1:14" ht="15" customHeight="1" x14ac:dyDescent="0.3">
      <c r="A52" s="8"/>
      <c r="B52" s="25">
        <v>42789</v>
      </c>
      <c r="C52" s="25">
        <v>42815</v>
      </c>
      <c r="D52" s="24">
        <f t="shared" si="10"/>
        <v>31959.518472222218</v>
      </c>
      <c r="E52" s="5">
        <f t="shared" si="11"/>
        <v>29</v>
      </c>
      <c r="F52" s="21">
        <f t="shared" si="9"/>
        <v>308.94201189814805</v>
      </c>
      <c r="G52" s="8"/>
      <c r="H52" s="8"/>
      <c r="I52" s="8"/>
      <c r="J52" s="8"/>
      <c r="K52" s="8"/>
      <c r="L52" s="8"/>
      <c r="M52" s="8"/>
    </row>
    <row r="53" spans="1:14" ht="15" customHeight="1" x14ac:dyDescent="0.3">
      <c r="A53" s="8"/>
      <c r="B53" s="23">
        <v>42816</v>
      </c>
      <c r="C53" s="23">
        <v>43100</v>
      </c>
      <c r="D53" s="24">
        <f t="shared" si="10"/>
        <v>3807819.0370370373</v>
      </c>
      <c r="E53" s="5">
        <f t="shared" si="11"/>
        <v>280</v>
      </c>
      <c r="F53" s="21">
        <f t="shared" si="9"/>
        <v>355396.44345679012</v>
      </c>
      <c r="G53" s="8"/>
      <c r="H53" s="8"/>
      <c r="I53" s="8"/>
      <c r="J53" s="8"/>
      <c r="K53" s="8"/>
      <c r="L53" s="8"/>
      <c r="M53" s="8"/>
    </row>
    <row r="54" spans="1:14" ht="15.75" customHeight="1" x14ac:dyDescent="0.3">
      <c r="A54" s="8"/>
      <c r="B54" s="11">
        <v>43101</v>
      </c>
      <c r="C54" s="11">
        <v>43228</v>
      </c>
      <c r="D54" s="24">
        <f t="shared" si="10"/>
        <v>795756.46814814827</v>
      </c>
      <c r="E54" s="5">
        <f t="shared" si="11"/>
        <v>128</v>
      </c>
      <c r="F54" s="21">
        <f t="shared" si="9"/>
        <v>33952.27597432099</v>
      </c>
      <c r="G54" s="8"/>
      <c r="H54" s="8"/>
      <c r="I54" s="8"/>
      <c r="J54" s="8"/>
      <c r="K54" s="8"/>
      <c r="L54" s="8"/>
      <c r="M54" s="8"/>
    </row>
    <row r="55" spans="1:14" ht="15.75" customHeight="1" x14ac:dyDescent="0.3">
      <c r="A55" s="8"/>
      <c r="B55" s="25">
        <v>43229</v>
      </c>
      <c r="C55" s="25">
        <v>43465</v>
      </c>
      <c r="D55" s="24">
        <f t="shared" si="10"/>
        <v>2636768.9757870371</v>
      </c>
      <c r="E55" s="5">
        <f t="shared" si="11"/>
        <v>233</v>
      </c>
      <c r="F55" s="21">
        <f t="shared" si="9"/>
        <v>204789.05711945987</v>
      </c>
      <c r="G55" s="8"/>
      <c r="H55" s="8"/>
      <c r="I55" s="8"/>
      <c r="J55" s="8"/>
      <c r="K55" s="8"/>
      <c r="L55" s="8"/>
      <c r="M55" s="8"/>
    </row>
    <row r="56" spans="1:14" x14ac:dyDescent="0.3">
      <c r="A56" s="8"/>
      <c r="B56" s="11">
        <v>43466</v>
      </c>
      <c r="C56" s="11">
        <v>43497</v>
      </c>
      <c r="D56" s="24">
        <f t="shared" si="10"/>
        <v>46674.924675925933</v>
      </c>
      <c r="E56" s="5">
        <f t="shared" si="11"/>
        <v>31</v>
      </c>
      <c r="F56" s="21">
        <f t="shared" si="9"/>
        <v>482.30755498456801</v>
      </c>
      <c r="G56" s="8"/>
      <c r="H56" s="8"/>
      <c r="I56" s="8"/>
      <c r="J56" s="8"/>
      <c r="K56" s="8"/>
      <c r="L56" s="8"/>
      <c r="M56" s="8"/>
    </row>
    <row r="57" spans="1:14" x14ac:dyDescent="0.3">
      <c r="A57" s="8"/>
      <c r="B57" s="23">
        <v>43502</v>
      </c>
      <c r="C57" s="23">
        <v>43530</v>
      </c>
      <c r="D57" s="24">
        <f t="shared" si="10"/>
        <v>53640.35055555556</v>
      </c>
      <c r="E57" s="5">
        <f t="shared" si="11"/>
        <v>31</v>
      </c>
      <c r="F57" s="21">
        <f t="shared" si="9"/>
        <v>554.28362240740739</v>
      </c>
      <c r="G57" s="8"/>
      <c r="H57" s="8"/>
      <c r="I57" s="8"/>
      <c r="J57" s="8"/>
      <c r="K57" s="8"/>
      <c r="L57" s="8"/>
      <c r="M57" s="8"/>
    </row>
    <row r="58" spans="1:14" x14ac:dyDescent="0.3">
      <c r="A58" s="8"/>
      <c r="B58" s="59" t="s">
        <v>10</v>
      </c>
      <c r="C58" s="59"/>
      <c r="D58" s="59"/>
      <c r="E58" s="59"/>
      <c r="F58" s="7">
        <f>SUM(F47:F57)</f>
        <v>1779751.2977762958</v>
      </c>
      <c r="G58" s="8"/>
      <c r="H58" s="8"/>
      <c r="I58" s="8"/>
      <c r="J58" s="8"/>
      <c r="K58" s="8"/>
      <c r="L58" s="8"/>
      <c r="M58" s="8"/>
    </row>
    <row r="59" spans="1:14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x14ac:dyDescent="0.3">
      <c r="A60" s="8"/>
      <c r="B60" s="72" t="s">
        <v>39</v>
      </c>
      <c r="C60" s="73"/>
      <c r="D60" s="73"/>
      <c r="E60" s="73"/>
      <c r="F60" s="73"/>
      <c r="G60" s="73"/>
      <c r="H60" s="73"/>
      <c r="I60" s="73"/>
      <c r="J60" s="73"/>
      <c r="K60" s="73"/>
      <c r="L60" s="8"/>
      <c r="M60" s="8"/>
      <c r="N60" s="8"/>
    </row>
    <row r="61" spans="1:14" ht="15" customHeight="1" x14ac:dyDescent="0.3">
      <c r="A61" s="8"/>
      <c r="B61" s="3" t="s">
        <v>1</v>
      </c>
      <c r="C61" s="3" t="s">
        <v>2</v>
      </c>
      <c r="D61" s="3" t="s">
        <v>14</v>
      </c>
      <c r="E61" s="3" t="s">
        <v>8</v>
      </c>
      <c r="F61" s="4" t="s">
        <v>40</v>
      </c>
      <c r="G61" s="3" t="s">
        <v>1</v>
      </c>
      <c r="H61" s="3" t="s">
        <v>2</v>
      </c>
      <c r="I61" s="3" t="s">
        <v>14</v>
      </c>
      <c r="J61" s="3" t="s">
        <v>8</v>
      </c>
      <c r="K61" s="4" t="s">
        <v>41</v>
      </c>
      <c r="L61" s="8"/>
      <c r="M61" s="8"/>
    </row>
    <row r="62" spans="1:14" ht="13.2" customHeight="1" x14ac:dyDescent="0.3">
      <c r="A62" s="8"/>
      <c r="B62" s="11">
        <v>41620</v>
      </c>
      <c r="C62" s="11">
        <v>42788</v>
      </c>
      <c r="D62" s="12">
        <f>(61667) *30</f>
        <v>1850010</v>
      </c>
      <c r="E62" s="5">
        <f>DAYS360(B62,C62)+1</f>
        <v>1151</v>
      </c>
      <c r="F62" s="26">
        <f>(D62*E62)/720</f>
        <v>2957446.5416666665</v>
      </c>
      <c r="G62" s="11">
        <v>41620</v>
      </c>
      <c r="H62" s="11">
        <v>42788</v>
      </c>
      <c r="I62" s="14">
        <v>410420</v>
      </c>
      <c r="J62" s="5">
        <f>DAYS360(G62,H62)+1</f>
        <v>1151</v>
      </c>
      <c r="K62" s="26">
        <f t="shared" ref="K62:K64" si="12">(I62*J62)/720</f>
        <v>656101.97222222225</v>
      </c>
      <c r="L62" s="8"/>
    </row>
    <row r="63" spans="1:14" ht="15" customHeight="1" x14ac:dyDescent="0.3">
      <c r="A63" s="8"/>
      <c r="B63" s="11">
        <v>42816</v>
      </c>
      <c r="C63" s="11">
        <v>43228</v>
      </c>
      <c r="D63" s="12">
        <f>79225*30</f>
        <v>2376750</v>
      </c>
      <c r="E63" s="5">
        <f>DAYS360(B63,C63)+1</f>
        <v>407</v>
      </c>
      <c r="F63" s="26">
        <f t="shared" ref="F63:F64" si="13">(D63*E63)/720</f>
        <v>1343523.9583333333</v>
      </c>
      <c r="G63" s="11">
        <v>42816</v>
      </c>
      <c r="H63" s="11">
        <v>43228</v>
      </c>
      <c r="I63" s="14">
        <v>524547</v>
      </c>
      <c r="J63" s="5">
        <f>DAYS360(G63,H63)+1</f>
        <v>407</v>
      </c>
      <c r="K63" s="26">
        <f t="shared" si="12"/>
        <v>296514.76250000001</v>
      </c>
      <c r="L63" s="8"/>
    </row>
    <row r="64" spans="1:14" ht="15" customHeight="1" x14ac:dyDescent="0.3">
      <c r="A64" s="8"/>
      <c r="B64" s="11">
        <v>43502</v>
      </c>
      <c r="C64" s="11">
        <v>43530</v>
      </c>
      <c r="D64" s="12">
        <f>91268*30</f>
        <v>2738040</v>
      </c>
      <c r="E64" s="5">
        <f>DAYS360(B64,C64)+1</f>
        <v>31</v>
      </c>
      <c r="F64" s="26">
        <f t="shared" si="13"/>
        <v>117887.83333333333</v>
      </c>
      <c r="G64" s="11">
        <v>43502</v>
      </c>
      <c r="H64" s="11">
        <v>43530</v>
      </c>
      <c r="I64" s="14">
        <v>602826</v>
      </c>
      <c r="J64" s="5">
        <f>DAYS360(G64,H64)+1</f>
        <v>31</v>
      </c>
      <c r="K64" s="26">
        <f t="shared" si="12"/>
        <v>25955.008333333335</v>
      </c>
      <c r="L64" s="8"/>
    </row>
    <row r="65" spans="1:13" x14ac:dyDescent="0.3">
      <c r="A65" s="8"/>
      <c r="B65" s="59" t="s">
        <v>10</v>
      </c>
      <c r="C65" s="59"/>
      <c r="D65" s="59"/>
      <c r="E65" s="59"/>
      <c r="F65" s="67">
        <f>(F62+F63+F64)-(K62-K63-K64)</f>
        <v>4085226.131944444</v>
      </c>
      <c r="G65" s="68"/>
      <c r="H65" s="68"/>
      <c r="I65" s="68"/>
      <c r="J65" s="68"/>
      <c r="K65" s="68"/>
      <c r="L65" s="8"/>
      <c r="M65" s="8"/>
    </row>
    <row r="66" spans="1:13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x14ac:dyDescent="0.3">
      <c r="A67" s="8"/>
      <c r="B67" s="48" t="s">
        <v>18</v>
      </c>
      <c r="C67" s="49"/>
      <c r="D67" s="49"/>
      <c r="E67" s="49"/>
      <c r="F67" s="50"/>
      <c r="G67" s="8"/>
      <c r="H67" s="8"/>
    </row>
    <row r="68" spans="1:13" x14ac:dyDescent="0.3">
      <c r="A68" s="8"/>
      <c r="B68" s="27" t="s">
        <v>1</v>
      </c>
      <c r="C68" s="51" t="s">
        <v>20</v>
      </c>
      <c r="D68" s="51"/>
      <c r="E68" s="51" t="s">
        <v>19</v>
      </c>
      <c r="F68" s="51"/>
      <c r="G68" s="8"/>
      <c r="H68" s="8"/>
    </row>
    <row r="69" spans="1:13" x14ac:dyDescent="0.3">
      <c r="A69" s="8"/>
      <c r="B69" s="28">
        <v>43531</v>
      </c>
      <c r="C69" s="52">
        <v>43677</v>
      </c>
      <c r="D69" s="52"/>
      <c r="E69" s="53">
        <v>6231907</v>
      </c>
      <c r="F69" s="53"/>
      <c r="G69" s="8"/>
      <c r="H69" s="8"/>
    </row>
    <row r="70" spans="1:13" x14ac:dyDescent="0.3">
      <c r="A70" s="8"/>
      <c r="B70" s="16"/>
      <c r="C70" s="16"/>
      <c r="D70" s="16"/>
      <c r="E70" s="16"/>
      <c r="F70" s="17"/>
      <c r="G70" s="8"/>
      <c r="H70" s="8"/>
    </row>
    <row r="71" spans="1:13" x14ac:dyDescent="0.3">
      <c r="A71" s="8"/>
      <c r="B71" s="48" t="s">
        <v>21</v>
      </c>
      <c r="C71" s="49"/>
      <c r="D71" s="49"/>
      <c r="E71" s="49"/>
      <c r="F71" s="49"/>
      <c r="G71" s="49"/>
      <c r="H71" s="49"/>
      <c r="I71" s="50"/>
    </row>
    <row r="72" spans="1:13" x14ac:dyDescent="0.3">
      <c r="A72" s="8"/>
      <c r="B72" s="41"/>
      <c r="C72" s="42"/>
      <c r="D72" s="43"/>
      <c r="E72" s="29" t="s">
        <v>22</v>
      </c>
      <c r="F72" s="29" t="s">
        <v>23</v>
      </c>
      <c r="G72" s="29" t="s">
        <v>24</v>
      </c>
      <c r="H72" s="54" t="s">
        <v>25</v>
      </c>
      <c r="I72" s="55"/>
    </row>
    <row r="73" spans="1:13" x14ac:dyDescent="0.3">
      <c r="A73" s="8"/>
      <c r="B73" s="41" t="s">
        <v>26</v>
      </c>
      <c r="C73" s="42"/>
      <c r="D73" s="43"/>
      <c r="E73" s="31">
        <v>2019</v>
      </c>
      <c r="F73" s="31">
        <v>3</v>
      </c>
      <c r="G73" s="30">
        <v>6</v>
      </c>
      <c r="H73" s="32" t="s">
        <v>27</v>
      </c>
      <c r="I73" s="32" t="s">
        <v>28</v>
      </c>
    </row>
    <row r="74" spans="1:13" x14ac:dyDescent="0.3">
      <c r="A74" s="8"/>
      <c r="B74" s="41" t="s">
        <v>29</v>
      </c>
      <c r="C74" s="42"/>
      <c r="D74" s="43"/>
      <c r="E74" s="33">
        <v>2013</v>
      </c>
      <c r="F74" s="33">
        <v>12</v>
      </c>
      <c r="G74" s="34">
        <v>12</v>
      </c>
      <c r="H74" s="35">
        <v>1885</v>
      </c>
      <c r="I74" s="31">
        <v>5.24</v>
      </c>
    </row>
    <row r="75" spans="1:13" x14ac:dyDescent="0.3">
      <c r="A75" s="8"/>
      <c r="B75" s="41" t="s">
        <v>30</v>
      </c>
      <c r="C75" s="42"/>
      <c r="D75" s="43"/>
      <c r="E75" s="64">
        <v>2738040</v>
      </c>
      <c r="F75" s="65"/>
      <c r="G75" s="65"/>
      <c r="H75" s="65"/>
      <c r="I75" s="66"/>
    </row>
    <row r="76" spans="1:13" x14ac:dyDescent="0.3">
      <c r="A76" s="8"/>
      <c r="B76" s="41" t="s">
        <v>31</v>
      </c>
      <c r="C76" s="42"/>
      <c r="D76" s="43"/>
      <c r="E76" s="38">
        <f>E77/30</f>
        <v>111362.2</v>
      </c>
      <c r="F76" s="39"/>
      <c r="G76" s="39"/>
      <c r="H76" s="39"/>
      <c r="I76" s="40"/>
    </row>
    <row r="77" spans="1:13" x14ac:dyDescent="0.3">
      <c r="A77" s="8"/>
      <c r="B77" s="41" t="s">
        <v>33</v>
      </c>
      <c r="C77" s="42"/>
      <c r="D77" s="43"/>
      <c r="E77" s="38">
        <f>F11</f>
        <v>3340866</v>
      </c>
      <c r="F77" s="39"/>
      <c r="G77" s="39"/>
      <c r="H77" s="39"/>
      <c r="I77" s="40"/>
    </row>
    <row r="78" spans="1:13" x14ac:dyDescent="0.3">
      <c r="A78" s="8"/>
      <c r="B78" s="41" t="s">
        <v>34</v>
      </c>
      <c r="C78" s="42"/>
      <c r="D78" s="43"/>
      <c r="E78" s="36">
        <f>I74-1</f>
        <v>4.24</v>
      </c>
      <c r="F78" s="38">
        <f>E78*20*E76</f>
        <v>9443514.5600000005</v>
      </c>
      <c r="G78" s="39"/>
      <c r="H78" s="39"/>
      <c r="I78" s="40"/>
    </row>
    <row r="79" spans="1:13" x14ac:dyDescent="0.3">
      <c r="A79" s="8"/>
      <c r="B79" s="41" t="s">
        <v>32</v>
      </c>
      <c r="C79" s="42"/>
      <c r="D79" s="43"/>
      <c r="E79" s="37"/>
      <c r="F79" s="44">
        <f>F78+E77</f>
        <v>12784380.560000001</v>
      </c>
      <c r="G79" s="45"/>
      <c r="H79" s="45"/>
      <c r="I79" s="46"/>
    </row>
    <row r="80" spans="1:13" x14ac:dyDescent="0.3">
      <c r="A80" s="8"/>
      <c r="B80" s="16"/>
      <c r="C80" s="16"/>
      <c r="D80" s="16"/>
      <c r="E80" s="16"/>
      <c r="F80" s="17"/>
      <c r="G80" s="8"/>
      <c r="H80" s="8"/>
    </row>
    <row r="81" spans="1:8" x14ac:dyDescent="0.3">
      <c r="A81" s="8"/>
      <c r="B81" s="56" t="s">
        <v>15</v>
      </c>
      <c r="C81" s="57"/>
      <c r="D81" s="57"/>
      <c r="E81" s="58"/>
      <c r="F81" s="20">
        <f>E69+F65+F58+F44+F30+F16+F79</f>
        <v>64106310.884905927</v>
      </c>
      <c r="G81" s="8"/>
    </row>
    <row r="82" spans="1:8" x14ac:dyDescent="0.3">
      <c r="A82" s="8"/>
      <c r="G82" s="8"/>
      <c r="H82" s="8"/>
    </row>
  </sheetData>
  <mergeCells count="34">
    <mergeCell ref="B75:D75"/>
    <mergeCell ref="B81:E81"/>
    <mergeCell ref="B65:E65"/>
    <mergeCell ref="B58:E58"/>
    <mergeCell ref="B7:H7"/>
    <mergeCell ref="B30:E30"/>
    <mergeCell ref="B16:E16"/>
    <mergeCell ref="B44:E44"/>
    <mergeCell ref="E75:I75"/>
    <mergeCell ref="B76:D76"/>
    <mergeCell ref="E76:I76"/>
    <mergeCell ref="B77:D77"/>
    <mergeCell ref="F65:K65"/>
    <mergeCell ref="G14:H16"/>
    <mergeCell ref="G21:H23"/>
    <mergeCell ref="B71:I71"/>
    <mergeCell ref="B72:D72"/>
    <mergeCell ref="H72:I72"/>
    <mergeCell ref="B73:D73"/>
    <mergeCell ref="B74:D74"/>
    <mergeCell ref="J2:O7"/>
    <mergeCell ref="J9:O10"/>
    <mergeCell ref="B67:F67"/>
    <mergeCell ref="C68:D68"/>
    <mergeCell ref="C69:D69"/>
    <mergeCell ref="E68:F68"/>
    <mergeCell ref="E69:F69"/>
    <mergeCell ref="C5:G5"/>
    <mergeCell ref="B60:K60"/>
    <mergeCell ref="E77:I77"/>
    <mergeCell ref="B79:D79"/>
    <mergeCell ref="F79:I79"/>
    <mergeCell ref="F78:I78"/>
    <mergeCell ref="B78:D78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Paola Astudillo</cp:lastModifiedBy>
  <cp:revision/>
  <dcterms:created xsi:type="dcterms:W3CDTF">2023-05-23T18:21:31Z</dcterms:created>
  <dcterms:modified xsi:type="dcterms:W3CDTF">2025-05-09T20:45:57Z</dcterms:modified>
  <cp:category/>
  <cp:contentStatus/>
</cp:coreProperties>
</file>