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lidariacomco-my.sharepoint.com/personal/inramirez_solidaria_com_co/Documents/Escritorio/INMER RAMIREZ/2022/LICITACIONES/FEBRERO/MUNICIPIO DE QUINCHIA/PROPUESTA A PRESENTAR/"/>
    </mc:Choice>
  </mc:AlternateContent>
  <xr:revisionPtr revIDLastSave="16" documentId="8_{98795D84-CB81-4F7C-8F12-4FAD7919309D}" xr6:coauthVersionLast="47" xr6:coauthVersionMax="47" xr10:uidLastSave="{14117375-2704-4C45-B3C7-7763DD933640}"/>
  <bookViews>
    <workbookView xWindow="-120" yWindow="-120" windowWidth="20730" windowHeight="11160" activeTab="3" xr2:uid="{3424CC27-28B7-4EAA-B25D-576EDA9A4773}"/>
  </bookViews>
  <sheets>
    <sheet name="RESUMEN" sheetId="9" r:id="rId1"/>
    <sheet name="TRDMESTATAL" sheetId="1" r:id="rId2"/>
    <sheet name="TRMYE" sheetId="2" r:id="rId3"/>
    <sheet name="AUTOS" sheetId="3" r:id="rId4"/>
    <sheet name="SOAT" sheetId="4" r:id="rId5"/>
    <sheet name="MANEJO" sheetId="5" r:id="rId6"/>
    <sheet name="RCE PLO" sheetId="6" r:id="rId7"/>
    <sheet name="RC SP" sheetId="7" r:id="rId8"/>
    <sheet name="VIDA GRUPO" sheetId="8" r:id="rId9"/>
  </sheets>
  <definedNames>
    <definedName name="_xlnm.Print_Area" localSheetId="1">TRDMESTATAL!$A$1:$D$115</definedName>
    <definedName name="_xlnm.Print_Area" localSheetId="2">TRMYE!$A$1:$D$27</definedName>
    <definedName name="_xlnm.Print_Area" localSheetId="8">'VIDA GRUPO'!$A$1:$F$18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7" i="3" l="1"/>
  <c r="D8" i="7" l="1"/>
  <c r="D14" i="7" s="1"/>
  <c r="C14" i="9" s="1"/>
  <c r="D5" i="6"/>
  <c r="D9" i="6" s="1"/>
  <c r="D3" i="5"/>
  <c r="D6" i="5" s="1"/>
  <c r="D11" i="3"/>
  <c r="D15" i="3"/>
  <c r="D19" i="3"/>
  <c r="D23" i="3"/>
  <c r="D27" i="3"/>
  <c r="D30" i="3"/>
  <c r="D34" i="3"/>
  <c r="C8" i="9" l="1"/>
  <c r="D8" i="9" s="1"/>
  <c r="D7" i="5"/>
  <c r="D8" i="5" s="1"/>
  <c r="D14" i="9"/>
  <c r="E14" i="9" s="1"/>
  <c r="C9" i="9"/>
  <c r="D10" i="6"/>
  <c r="D11" i="6" s="1"/>
  <c r="D38" i="3"/>
  <c r="D39" i="3" s="1"/>
  <c r="E8" i="9"/>
  <c r="D15" i="7"/>
  <c r="D16" i="7" s="1"/>
  <c r="D9" i="9" l="1"/>
  <c r="E9" i="9" s="1"/>
  <c r="C11" i="9"/>
  <c r="D40" i="3"/>
  <c r="H17" i="2"/>
  <c r="H16" i="2"/>
  <c r="D18" i="2" l="1"/>
  <c r="D19" i="2"/>
  <c r="C10" i="9"/>
  <c r="D20" i="2"/>
  <c r="D11" i="9"/>
  <c r="D8" i="1"/>
  <c r="D9" i="1"/>
  <c r="D11" i="1"/>
  <c r="D12" i="1"/>
  <c r="D13" i="1"/>
  <c r="D14" i="1"/>
  <c r="D15" i="1"/>
  <c r="D16" i="1"/>
  <c r="D18" i="1"/>
  <c r="D19" i="1"/>
  <c r="D20" i="1"/>
  <c r="D21" i="1"/>
  <c r="D22" i="1"/>
  <c r="D23" i="1"/>
  <c r="D25" i="1"/>
  <c r="D26" i="1"/>
  <c r="D27" i="1"/>
  <c r="D28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4" i="1"/>
  <c r="D75" i="1"/>
  <c r="D76" i="1"/>
  <c r="D78" i="1"/>
  <c r="D79" i="1"/>
  <c r="D80" i="1"/>
  <c r="D81" i="1"/>
  <c r="D82" i="1"/>
  <c r="D83" i="1"/>
  <c r="D84" i="1"/>
  <c r="D85" i="1"/>
  <c r="D86" i="1"/>
  <c r="D88" i="1"/>
  <c r="D90" i="1"/>
  <c r="D92" i="1"/>
  <c r="D7" i="1"/>
  <c r="C89" i="1"/>
  <c r="D10" i="9" l="1"/>
  <c r="E10" i="9" s="1"/>
  <c r="E11" i="9"/>
  <c r="K14" i="1"/>
  <c r="K13" i="1"/>
  <c r="H12" i="1"/>
  <c r="M11" i="1"/>
  <c r="L11" i="1"/>
  <c r="L19" i="1" s="1"/>
  <c r="K11" i="1"/>
  <c r="I11" i="1"/>
  <c r="H11" i="1"/>
  <c r="K10" i="1"/>
  <c r="K8" i="1"/>
  <c r="J7" i="1"/>
  <c r="H7" i="1"/>
  <c r="F17" i="1"/>
  <c r="F15" i="1"/>
  <c r="F14" i="1"/>
  <c r="F13" i="1"/>
  <c r="F12" i="1"/>
  <c r="F11" i="1"/>
  <c r="F7" i="1"/>
  <c r="H19" i="1" l="1"/>
  <c r="K19" i="1"/>
  <c r="B8" i="8"/>
  <c r="B7" i="8"/>
  <c r="B6" i="8"/>
  <c r="G5" i="8" s="1"/>
  <c r="B14" i="7"/>
  <c r="B14" i="9" s="1"/>
  <c r="B8" i="6"/>
  <c r="B9" i="9" s="1"/>
  <c r="B5" i="5"/>
  <c r="B8" i="9" s="1"/>
  <c r="C13" i="4"/>
  <c r="C13" i="9" s="1"/>
  <c r="E13" i="9" s="1"/>
  <c r="B38" i="3"/>
  <c r="B11" i="9" s="1"/>
  <c r="B5" i="2"/>
  <c r="B18" i="2" s="1"/>
  <c r="B10" i="9" s="1"/>
  <c r="B89" i="1"/>
  <c r="D89" i="1" s="1"/>
  <c r="B73" i="1"/>
  <c r="B93" i="1"/>
  <c r="D93" i="1" s="1"/>
  <c r="B91" i="1"/>
  <c r="D91" i="1" s="1"/>
  <c r="B87" i="1"/>
  <c r="B77" i="1"/>
  <c r="B51" i="1"/>
  <c r="B50" i="1"/>
  <c r="B49" i="1"/>
  <c r="B29" i="1"/>
  <c r="B24" i="1"/>
  <c r="B17" i="1"/>
  <c r="B10" i="1"/>
  <c r="D10" i="1" s="1"/>
  <c r="E4" i="8" l="1"/>
  <c r="C12" i="9" s="1"/>
  <c r="E12" i="9" s="1"/>
  <c r="B12" i="9"/>
  <c r="F9" i="1"/>
  <c r="D24" i="1"/>
  <c r="D73" i="1"/>
  <c r="G15" i="1"/>
  <c r="G19" i="1" s="1"/>
  <c r="J12" i="1"/>
  <c r="J19" i="1" s="1"/>
  <c r="D50" i="1"/>
  <c r="F16" i="1"/>
  <c r="D77" i="1"/>
  <c r="D87" i="1"/>
  <c r="I18" i="1"/>
  <c r="F10" i="1"/>
  <c r="D29" i="1"/>
  <c r="I12" i="1"/>
  <c r="D49" i="1"/>
  <c r="M12" i="1"/>
  <c r="M19" i="1" s="1"/>
  <c r="D51" i="1"/>
  <c r="F8" i="1"/>
  <c r="D17" i="1"/>
  <c r="D96" i="1" s="1"/>
  <c r="B95" i="1"/>
  <c r="B7" i="9" s="1"/>
  <c r="I7" i="1"/>
  <c r="I19" i="1" l="1"/>
  <c r="C7" i="9"/>
  <c r="F19" i="1"/>
  <c r="D97" i="1" l="1"/>
  <c r="D98" i="1" s="1"/>
  <c r="D7" i="9"/>
  <c r="D15" i="9" s="1"/>
  <c r="C15" i="9"/>
  <c r="E7" i="9" l="1"/>
  <c r="E15" i="9" s="1"/>
</calcChain>
</file>

<file path=xl/sharedStrings.xml><?xml version="1.0" encoding="utf-8"?>
<sst xmlns="http://schemas.openxmlformats.org/spreadsheetml/2006/main" count="300" uniqueCount="214">
  <si>
    <t>MUNICIPIO DE QUINCHIA NIT 891480032-7 CUADRO RESUMEN DE PRIMAS  VIGENCIA 365 DIAS</t>
  </si>
  <si>
    <t>PÓLIZA</t>
  </si>
  <si>
    <t>VALOR ASEGURADO</t>
  </si>
  <si>
    <t>PRIMA NETA</t>
  </si>
  <si>
    <t>IVA</t>
  </si>
  <si>
    <t>PRIMA INCLUIDO IVA</t>
  </si>
  <si>
    <t>TRDM</t>
  </si>
  <si>
    <t>MANEJO</t>
  </si>
  <si>
    <t>RESPONSABILIDAD CIVIL EXTRACONTRACTUAL</t>
  </si>
  <si>
    <t>TRM Y EQUIPO</t>
  </si>
  <si>
    <t>AUTOMOVILES</t>
  </si>
  <si>
    <t>VIDA GRUPO CONCEJALES</t>
  </si>
  <si>
    <t>SOAT</t>
  </si>
  <si>
    <t>LO DE LEY</t>
  </si>
  <si>
    <t>RESPONSABILIDAD CIVIL SERVIDORES PUBLICOS</t>
  </si>
  <si>
    <t>TOTAL PRIMA PROGRAMA</t>
  </si>
  <si>
    <t>HÉCTOR FERNANDO CORTÉS SAAVEDRA</t>
  </si>
  <si>
    <t>Apoderado General</t>
  </si>
  <si>
    <t>C.C No. 1.049.609.978 de Tunja</t>
  </si>
  <si>
    <t>ASEGURADORA SOLIDARIA DE COLOMBIA ENTIDAD COOPERATIVA</t>
  </si>
  <si>
    <t>Nit. 860.524.654/6</t>
  </si>
  <si>
    <t>Dirección: Calle 100 No. 9ª / 45 Pisos 8 y 12 Teléfono: (1)6464330 Ext 1836</t>
  </si>
  <si>
    <t>Dirección electrónica: jucollazos@solidaria.com.co o dwilches@solidaria.com.co</t>
  </si>
  <si>
    <t>RELACIÓN DE BIENES Y VALORES ASEGURADOS</t>
  </si>
  <si>
    <t>BIENES ASEGURADOS</t>
  </si>
  <si>
    <t>TASA</t>
  </si>
  <si>
    <t>PRIMA</t>
  </si>
  <si>
    <t>RIESGO 1</t>
  </si>
  <si>
    <t>EDIFICIOS</t>
  </si>
  <si>
    <t>CIVILES</t>
  </si>
  <si>
    <t>MUEBLES</t>
  </si>
  <si>
    <t>COMPUTO</t>
  </si>
  <si>
    <t>MOVIL</t>
  </si>
  <si>
    <t>MAQUINARIA</t>
  </si>
  <si>
    <t>HERRAMIENTAS</t>
  </si>
  <si>
    <t>ESPECIALES</t>
  </si>
  <si>
    <t xml:space="preserve">EDIFICIO ALCALDIA MUNICIPAL - Cra. 6a No. 5-13           </t>
  </si>
  <si>
    <t xml:space="preserve">Incluye cimientos </t>
  </si>
  <si>
    <t>Muebles y enseres dependencias del municipio</t>
  </si>
  <si>
    <t>Equipo eléctrico y electrónico (Equipo de Computo y procesamiento de datos, equipos de oficina)</t>
  </si>
  <si>
    <t>Equipos Móviles y Portátiles</t>
  </si>
  <si>
    <t>RIESGO 2</t>
  </si>
  <si>
    <t>MATADERO MUNICIPAL (Administrado por terceros) - Vereda La Itálica</t>
  </si>
  <si>
    <t>Edificio con planta de tratamiento</t>
  </si>
  <si>
    <t xml:space="preserve">Incluye  cimientos </t>
  </si>
  <si>
    <t>Bodega de Materiales</t>
  </si>
  <si>
    <t>Maquinaria y Equipo:</t>
  </si>
  <si>
    <t>TOTAL</t>
  </si>
  <si>
    <t>Diferencial báscula, etc</t>
  </si>
  <si>
    <t>RIESGO 3</t>
  </si>
  <si>
    <t>EMPRESAS PUBLICAS MUNICIPALES - Cra. 7a con Calle 9a esquina</t>
  </si>
  <si>
    <t>Edificio Piso 2</t>
  </si>
  <si>
    <t>RIESGO 4</t>
  </si>
  <si>
    <t>COLISEO JUAN GUILLERMO ANGEL - Cra. 9a entre Calles 5a y 6a</t>
  </si>
  <si>
    <t>Edificio</t>
  </si>
  <si>
    <t>Maquinaria y Equipo</t>
  </si>
  <si>
    <t>RIESGO 5</t>
  </si>
  <si>
    <t>TEATRO MUNICIPAL - Cra. 6a ente Calles 2a y 3a</t>
  </si>
  <si>
    <t>Muebles y Enseres</t>
  </si>
  <si>
    <t>Equipo eléctrico y electrónico (Equipo de Oficina y de Computo)</t>
  </si>
  <si>
    <t>Herramientas y Accesorios</t>
  </si>
  <si>
    <t>Contenidos Especiales, instrumentos musicales casa de la cultura y banda estudiantil (Móviles)</t>
  </si>
  <si>
    <t>RIESGO 6 - Cra. 3a No. 4-63</t>
  </si>
  <si>
    <t>CENTRO DE RECURSOS EDUCATIVOS CREM</t>
  </si>
  <si>
    <t>Edificio (Alcaldia)</t>
  </si>
  <si>
    <t>Muebles y Enseres (COLEGIO N.S.D.)</t>
  </si>
  <si>
    <t>Equipo Eléctrico y Electrónico (Equipo de Computo y procesamiento de datos)</t>
  </si>
  <si>
    <t>Equipos Moviles y Portatiles</t>
  </si>
  <si>
    <t>Aulotecas Biblioteca Danilo Calamata</t>
  </si>
  <si>
    <t>BIBLIOTECA DANILO CALAMATA (DOTACIÓN)</t>
  </si>
  <si>
    <t>AULOTECAS EN COMODATO POR GOBERNACIÓN</t>
  </si>
  <si>
    <t>RIESGO 7</t>
  </si>
  <si>
    <t>CENTRO EDUCACION DUAL - Cra. 10 con calle 5a esquina</t>
  </si>
  <si>
    <t>RIESGO 8</t>
  </si>
  <si>
    <t>CENTRO DE PRODUCCION DE PANELA - Vereda el Pensil</t>
  </si>
  <si>
    <t>RIESGO 9</t>
  </si>
  <si>
    <t xml:space="preserve">PLANTA DE TRATAMIENTO - C 13 GOBIA </t>
  </si>
  <si>
    <t>Edificio Planta de tratamiento de agua potable</t>
  </si>
  <si>
    <t>ACUEDUCTO Y ALCANTARILLADO</t>
  </si>
  <si>
    <t>Obras civiles terminadas: redes de sistema de abastecimiento, sistema de acueducto, sistema de alcantarillado sanitario y pluvial</t>
  </si>
  <si>
    <t>RIESGO 10</t>
  </si>
  <si>
    <t xml:space="preserve">GALERÍA - PLAZA DE MERCADO (Administrado por terceros) - C 9 7 42 C 8 7 41  </t>
  </si>
  <si>
    <t>RIESGO 11</t>
  </si>
  <si>
    <t>GALERIA PLAZA DE MERCADO IRRA - C 2 4 106 IRRA</t>
  </si>
  <si>
    <t>RIESGO 12</t>
  </si>
  <si>
    <t>INST. EDUCATIVA NTRA SRA DE LOS DOLORES - Calle 5 No. 5-20</t>
  </si>
  <si>
    <t>Equipo eléctrico y electrónico (21 Equipo de Computo y procesamiento de datos)</t>
  </si>
  <si>
    <t>Índica Variable 5%</t>
  </si>
  <si>
    <t>Adecuación a la norma colombiana de diseño y construcción sismo resistente NSR10 y sus posteriores modificaciones hasta el 10% del valor asegurado edificios</t>
  </si>
  <si>
    <t>Gastos por adecuación de suelos y terrenos hasta 10% del valor asegurado edificios</t>
  </si>
  <si>
    <t>TOTALES</t>
  </si>
  <si>
    <t>Subtotal</t>
  </si>
  <si>
    <t>TOTAL A PAGAR</t>
  </si>
  <si>
    <t>DEDUCIBLES:</t>
  </si>
  <si>
    <t xml:space="preserve">Terremoto: </t>
  </si>
  <si>
    <t>3% del valor de la perdida Mínimo 3 SMMLV.</t>
  </si>
  <si>
    <t>AMACC- AMIT- TERRORISMO:</t>
  </si>
  <si>
    <t>5% del valor de la perdida Mínimo 2 SMMLV.</t>
  </si>
  <si>
    <t>Demás Amparos:</t>
  </si>
  <si>
    <t>Sin Deducible</t>
  </si>
  <si>
    <t>Sustracción con Violencia:</t>
  </si>
  <si>
    <t>10% del valor de la perdida mínimo 1 SMMLV</t>
  </si>
  <si>
    <t>Rotura de maquinaria:</t>
  </si>
  <si>
    <t>Equipo Electrónico:</t>
  </si>
  <si>
    <t>Cobertura Básica Corriente Débil</t>
  </si>
  <si>
    <t>Incendio y/o Rayo</t>
  </si>
  <si>
    <t>Terremoto, temblor y/o erupción volcánica</t>
  </si>
  <si>
    <t>1% del valor de la perdida Mínimo 1 SMMLV.</t>
  </si>
  <si>
    <t xml:space="preserve">Hmacc - Amit </t>
  </si>
  <si>
    <t xml:space="preserve"> 5% del valor de la perdida Mínimo 2 SMMLV.</t>
  </si>
  <si>
    <t>Hurto Simple y Hurto calificado</t>
  </si>
  <si>
    <t>Equipos móviles y portátiles</t>
  </si>
  <si>
    <t>15% del valor de la perdida Mínimo 2 SMMLV.</t>
  </si>
  <si>
    <t>Demas eventos</t>
  </si>
  <si>
    <t>OBLIGATORIO</t>
  </si>
  <si>
    <r>
      <t xml:space="preserve">La Entidad  </t>
    </r>
    <r>
      <rPr>
        <b/>
        <sz val="10"/>
        <rFont val="Arial"/>
        <family val="2"/>
      </rPr>
      <t xml:space="preserve">evaluarán </t>
    </r>
    <r>
      <rPr>
        <sz val="10"/>
        <rFont val="Arial"/>
        <family val="2"/>
      </rPr>
      <t xml:space="preserve">las propuestas que presenten </t>
    </r>
    <r>
      <rPr>
        <b/>
        <sz val="10"/>
        <rFont val="Arial"/>
        <family val="2"/>
      </rPr>
      <t>DEDUCIBLE</t>
    </r>
    <r>
      <rPr>
        <sz val="10"/>
        <rFont val="Arial"/>
        <family val="2"/>
      </rPr>
      <t xml:space="preserve"> para todas las coberturas sobre </t>
    </r>
    <r>
      <rPr>
        <b/>
        <sz val="10"/>
        <rFont val="Arial"/>
        <family val="2"/>
      </rPr>
      <t>valor pérdida</t>
    </r>
    <r>
      <rPr>
        <sz val="10"/>
        <rFont val="Arial"/>
        <family val="2"/>
      </rPr>
      <t>, para el proponente que ofrezca porcentaje (%) sobre el valor asegurable y/o asegurado, la calificación será cero,</t>
    </r>
    <r>
      <rPr>
        <b/>
        <sz val="10"/>
        <rFont val="Arial"/>
        <family val="2"/>
      </rPr>
      <t xml:space="preserve"> </t>
    </r>
    <r>
      <rPr>
        <sz val="10"/>
        <rFont val="Arial"/>
        <family val="2"/>
      </rPr>
      <t>ya que éste deducible desmejora las condiciones de asegurabilidad del Municipio.</t>
    </r>
  </si>
  <si>
    <t>SEGURO DE TODO RIESGO EQUIPO Y MAQUINARIA</t>
  </si>
  <si>
    <t>Bienes Asegurados</t>
  </si>
  <si>
    <t>Valor Asegurado</t>
  </si>
  <si>
    <t>Prima</t>
  </si>
  <si>
    <t>Retroexcavadora Caterpillar Mod. 416 2a serie motor</t>
  </si>
  <si>
    <t xml:space="preserve"> </t>
  </si>
  <si>
    <t>N° U334147T</t>
  </si>
  <si>
    <t>Todo daño Material, accidental, subito, cobertura equipo y maquinaria contratista (hurto y hurto calificado), terremoto, temblor, erupción volcánica, responsabilidad civil extracontractual.</t>
  </si>
  <si>
    <t>TRM&amp;E 0.9 por ciento, RCE 0.2 por ciento</t>
  </si>
  <si>
    <t xml:space="preserve"> (PROPIEDAD MPIO EN COMODARO EMP. PÚBLICAS)</t>
  </si>
  <si>
    <t>Motoniveladora Case Modelo 2015 845B</t>
  </si>
  <si>
    <t>Registro  MC026422</t>
  </si>
  <si>
    <t xml:space="preserve"> (PROPIEDAD MPIO EN COMODARO EMP. VIAL)</t>
  </si>
  <si>
    <t>Retroescavadora Caswe Modelo 2015, 590SN</t>
  </si>
  <si>
    <t>Registro  MC026572</t>
  </si>
  <si>
    <t>SUBTOT</t>
  </si>
  <si>
    <t xml:space="preserve">RCE $300.000.000 </t>
  </si>
  <si>
    <t>DEDUCIBLES</t>
  </si>
  <si>
    <t>Básico, Pérdida Total y Parcial por Daños</t>
  </si>
  <si>
    <t>10% del valor de la pérdida Min 1 SMMLV</t>
  </si>
  <si>
    <t>Terremoto y Actos de la Naturaleza</t>
  </si>
  <si>
    <t>Huelga, Motín, Asonada y Amit</t>
  </si>
  <si>
    <t xml:space="preserve">Responsabilidad Civil Extracontractual </t>
  </si>
  <si>
    <t>SEGURO DE AUTOMOVILES</t>
  </si>
  <si>
    <t>VEHICULOS ASEGURADOS</t>
  </si>
  <si>
    <t>asistencia</t>
  </si>
  <si>
    <t>- Campero Chevrolet Trooper DLX, Lona, placa OVH249 (BOMBEROS)</t>
  </si>
  <si>
    <t xml:space="preserve">motor 331651, modelo 1994,  Código 01608006                  </t>
  </si>
  <si>
    <t>Estilo Trooper STD MT, 1600 CC LONA, oficial</t>
  </si>
  <si>
    <t>- Campero ambulancia LAND ROVER,  placa OVD573</t>
  </si>
  <si>
    <t>MOTOR: E316198988, Código 05208001 , MODELO 1985</t>
  </si>
  <si>
    <t>Estilo Santana Cabinado Largo Cab, Oficial</t>
  </si>
  <si>
    <t>Volqueta Chevrolet C70 149 diesel modelo 82 motor N° 08G139919</t>
  </si>
  <si>
    <r>
      <t xml:space="preserve">Chasis N° CM 20401 placa </t>
    </r>
    <r>
      <rPr>
        <b/>
        <sz val="9"/>
        <rFont val="Verdana"/>
        <family val="2"/>
      </rPr>
      <t>OVD 519</t>
    </r>
    <r>
      <rPr>
        <sz val="9"/>
        <rFont val="Verdana"/>
        <family val="2"/>
      </rPr>
      <t xml:space="preserve"> color rojo llana, MT TD 4X2</t>
    </r>
  </si>
  <si>
    <t>CODIGO  01626002, Modelo 1982, Oficial</t>
  </si>
  <si>
    <t xml:space="preserve">  Campero cabinado, Chevrolet Trooper DL, modelo  1,994</t>
  </si>
  <si>
    <r>
      <t xml:space="preserve"> placa </t>
    </r>
    <r>
      <rPr>
        <b/>
        <sz val="9"/>
        <rFont val="Arial"/>
        <family val="2"/>
      </rPr>
      <t>PEF-443</t>
    </r>
    <r>
      <rPr>
        <sz val="9"/>
        <rFont val="Arial"/>
        <family val="2"/>
      </rPr>
      <t>, motor 305916, chasis USD22412,  Código  01608007</t>
    </r>
  </si>
  <si>
    <t>Estilo Trooper DLX, MT 2600 cc CAB., OFICIAL</t>
  </si>
  <si>
    <t xml:space="preserve"> - Volqueta International 4300 Durastar Plus Euro 4x2 AA, Código 03626096</t>
  </si>
  <si>
    <r>
      <t xml:space="preserve">Motor 73847872, modelo 2016,  </t>
    </r>
    <r>
      <rPr>
        <b/>
        <sz val="9"/>
        <rFont val="Verdana"/>
        <family val="2"/>
      </rPr>
      <t>placa  OVE407</t>
    </r>
  </si>
  <si>
    <t>Estilo 4300 Durastar Plus Euro V MT TD 4X2 AA, Oficial</t>
  </si>
  <si>
    <r>
      <t xml:space="preserve"> - Campero SUZUKI, Grand Vitara SZ, modelo 2018, placa </t>
    </r>
    <r>
      <rPr>
        <b/>
        <sz val="9"/>
        <rFont val="Verdana"/>
        <family val="2"/>
      </rPr>
      <t>OUE086</t>
    </r>
    <r>
      <rPr>
        <sz val="9"/>
        <rFont val="Verdana"/>
        <family val="2"/>
      </rPr>
      <t xml:space="preserve"> </t>
    </r>
  </si>
  <si>
    <t>Estilo Grand Vitara SZ GLX SPORT, MT, 2.400 CC, 5 PTAS, OFICIAL</t>
  </si>
  <si>
    <r>
      <t xml:space="preserve"> Motor J24B1321474, </t>
    </r>
    <r>
      <rPr>
        <b/>
        <sz val="9"/>
        <rFont val="Verdana"/>
        <family val="2"/>
      </rPr>
      <t>CÓDIGO Fasecolda 08808032</t>
    </r>
  </si>
  <si>
    <t xml:space="preserve"> - BUSETA, Chevrolet npr [1] 3,9 L mt, 3,900 c.c., DSL, 4X2 [URB]</t>
  </si>
  <si>
    <r>
      <t xml:space="preserve"> Placa </t>
    </r>
    <r>
      <rPr>
        <b/>
        <sz val="9"/>
        <rFont val="Verdana"/>
        <family val="2"/>
      </rPr>
      <t>OVH260</t>
    </r>
    <r>
      <rPr>
        <sz val="9"/>
        <rFont val="Verdana"/>
        <family val="2"/>
      </rPr>
      <t>, motor 567065, Chasis NL96383606, Oficil, mod 1996</t>
    </r>
  </si>
  <si>
    <r>
      <t xml:space="preserve"> Código Fasecolda </t>
    </r>
    <r>
      <rPr>
        <b/>
        <sz val="9"/>
        <rFont val="Verdana"/>
        <family val="2"/>
      </rPr>
      <t>0160317.</t>
    </r>
  </si>
  <si>
    <r>
      <t xml:space="preserve">  - MOTOCARRO, Ayco, línea AY250ZH-2, placa </t>
    </r>
    <r>
      <rPr>
        <b/>
        <sz val="9"/>
        <rFont val="Verdana"/>
        <family val="2"/>
      </rPr>
      <t>434NAA</t>
    </r>
    <r>
      <rPr>
        <sz val="9"/>
        <rFont val="Verdana"/>
        <family val="2"/>
      </rPr>
      <t>, platón</t>
    </r>
  </si>
  <si>
    <t xml:space="preserve"> Modelo 2017, 246 C.C. Público, Motor 167MM8FC00030,</t>
  </si>
  <si>
    <r>
      <t xml:space="preserve"> Chasis 9F0HDNZ00H0003267, </t>
    </r>
    <r>
      <rPr>
        <b/>
        <sz val="9"/>
        <rFont val="Verdana"/>
        <family val="2"/>
      </rPr>
      <t>recolector material reciclable</t>
    </r>
  </si>
  <si>
    <t>ASISTENCIAS (215 * VEHICULO)</t>
  </si>
  <si>
    <t>SIN APLICACIÓN DE DEDUCIBLE</t>
  </si>
  <si>
    <t xml:space="preserve">TOTAL </t>
  </si>
  <si>
    <t>SEGURO DE SOAT</t>
  </si>
  <si>
    <r>
      <t xml:space="preserve"> - Campero Grand Vitara SZ, modelo 2018, placa </t>
    </r>
    <r>
      <rPr>
        <b/>
        <sz val="9"/>
        <rFont val="Verdana"/>
        <family val="2"/>
      </rPr>
      <t>OUE086</t>
    </r>
    <r>
      <rPr>
        <sz val="9"/>
        <rFont val="Verdana"/>
        <family val="2"/>
      </rPr>
      <t xml:space="preserve"> </t>
    </r>
  </si>
  <si>
    <r>
      <t xml:space="preserve"> Motor J24B1321474, </t>
    </r>
    <r>
      <rPr>
        <b/>
        <sz val="9"/>
        <rFont val="Verdana"/>
        <family val="2"/>
      </rPr>
      <t>CÓDIGO Fasecolda 08808032   JUN-10-2022 (221)</t>
    </r>
  </si>
  <si>
    <t xml:space="preserve">  2,400 C.C. 5 PASAJEROS, 0 TONELADAS</t>
  </si>
  <si>
    <t>valores estimados 2022</t>
  </si>
  <si>
    <t>SEGURO DE GLOBAL DE MANEJO SECTOR OFICIAL</t>
  </si>
  <si>
    <t>Interes Asegurable</t>
  </si>
  <si>
    <t>Se ampara a la(s) entidad(es) estatal(es) asegurada(s) contra las pérdidas patrimoniales sufridas en vigencia de la póliza, que impliquen menoscabo de fondos y bienes públicos, causados por sus servidores públicos en el ejercicio de los cargos amparados, por incurrir en conductas que se tipifiquen como delitos contra la administración pública o que generen fallos con responsabilidad fiscal, siempre y cuando la conducta que dio origen al daño tenga lugar dentro de la vigencia de la presente póliza. El amparo se extiende a reconocer el valor de la rendición y reconstrucción de cuentas.integridad de sus empleados o personas a su servicio, Delitos contra la Administración Pública, Cobertura global de manejo oficial, empleados de firma especializada</t>
  </si>
  <si>
    <t>Numero de cargos asegurados:    16</t>
  </si>
  <si>
    <t>Limite de Valor asegurado</t>
  </si>
  <si>
    <t>SUBTOTAL</t>
  </si>
  <si>
    <t>Básico</t>
  </si>
  <si>
    <t>10% del valor de la perdida mínimo 1 SMMLV.</t>
  </si>
  <si>
    <t>Demas Eventos</t>
  </si>
  <si>
    <t>Cajas menores sin deducibles:</t>
  </si>
  <si>
    <t>Sin Aplicación deducibles</t>
  </si>
  <si>
    <t>SEGURO DE RESPONSABILIDAD CIVIL EXTRACONTRACTUAL</t>
  </si>
  <si>
    <t>Objeto:</t>
  </si>
  <si>
    <t xml:space="preserve">Amparar los perjucios patrimoniales y extrapatrimoniales causados a terceros, como consecuencia de un hecho de carácter accidental, subito e imprevisto imputable al asegurado, de acuerdo con la ley colombiana que causen la muerte, lesion o menoscabo en la salud de las personas (daños personales) Y/o deterioro o destruccion de bienes (daños materiales) y perjuicios económicos, incluyendo lucro cesante , como consecuencia directa de tales daños personales y /o daños materiales, causados durante el giro normal de sus actividades. </t>
  </si>
  <si>
    <t>Limite asegurado</t>
  </si>
  <si>
    <t>Gastos Médicos:Sin Aplicación deducibles</t>
  </si>
  <si>
    <t>Básico:10% del valor de la perdida mínimo 1 SMMLV.</t>
  </si>
  <si>
    <t>Demas amparos:Sin Aplicación deducibles</t>
  </si>
  <si>
    <t>SERVIDORES PÚBLICOS</t>
  </si>
  <si>
    <t>Amparar los perjuicios  causados a terceros  y/o a la entidad imputables a  uno o varios funcionarios que desempeñen las funciones propias a los cargos asegurados,  asi como los gastos y honorarios de abogados y costos judiciales en que incurran los asegurados para su defensa como consecuencia de cualquier investigación o proceso iniciado por cualquier organismo de control, se incluye pero sin estar limitado a procesos disciplinarios, administrativos, civiles, penales y de responsabilidad Fiscal,  por investigaciones adelantadas por cualquier organismo oficial, incluyendo contraloría, fiscalía, procuraduría, personería, defensoría o veeduría de acuerdo con lo consagrado en la ley 610 de 2000 o una acción de repetición o llamamiento en garantía con la finalidad de repetición por culpa grave según lo dispuesto en la ley 678 de 2011,</t>
  </si>
  <si>
    <t>Número de cargos Asegurados:  15</t>
  </si>
  <si>
    <r>
      <rPr>
        <b/>
        <sz val="10"/>
        <rFont val="Arial"/>
        <family val="2"/>
      </rPr>
      <t>Modalidad de Aseguramiento</t>
    </r>
    <r>
      <rPr>
        <sz val="10"/>
        <rFont val="Arial"/>
        <family val="2"/>
      </rPr>
      <t>:  Claims Made y/o ocurrencia</t>
    </r>
  </si>
  <si>
    <t>OBLIGATORIO:</t>
  </si>
  <si>
    <t>Fecha de retroactividad: 12 de marzo de 2017 OBLIGATORIA</t>
  </si>
  <si>
    <t>SIN APLICACIÓN DE DEDUCIBLES</t>
  </si>
  <si>
    <t>SEGURO VIDA GRUPO CONCEJALES</t>
  </si>
  <si>
    <t>Valor Asegurado Individual</t>
  </si>
  <si>
    <t>Tasa</t>
  </si>
  <si>
    <t>Se ampara a los 13 Concejales, Alcalde y Personero del Municipio de Quinchia</t>
  </si>
  <si>
    <t>Total Asegurados 15 Personas</t>
  </si>
  <si>
    <t>Salario Alcalde $4,372,869= (05-02-2022)</t>
  </si>
  <si>
    <t>Vida (Básico-Muerte por cualquie causa)</t>
  </si>
  <si>
    <t>Incapacidad total y permanente</t>
  </si>
  <si>
    <t>Indemnización Adicional por Muerte Accidental</t>
  </si>
  <si>
    <t>VALOR TOTAL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</si>
  <si>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 xml:space="preserve">Muerte por Cualquier Causa: edad máxima de ingreso 71 Años 365 días, permanencia indefinida.  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</si>
  <si>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 xml:space="preserve">Incapacidad Total y Permanente: edad máxima de ingreso 70 Años 365 días, permanencia hasta los 71 años 365 días. 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</si>
  <si>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 xml:space="preserve">Muerte accidental y beneficios por desmembración: edad máxima de ingreso 70 Años 365 días, permanencia hasta los 71 años 365 días. 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</si>
  <si>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Enfermedades Graves</t>
    </r>
  </si>
  <si>
    <r>
      <t>·</t>
    </r>
    <r>
      <rPr>
        <sz val="12"/>
        <rFont val="Times New Roman"/>
        <family val="1"/>
      </rPr>
      <t>       Auexilio Funerario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</si>
</sst>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&quot;$&quot;\ #,##0;[Red]\-&quot;$&quot;\ #,##0"/>
    <numFmt numFmtId="165" formatCode="_-&quot;$&quot;\ * #,##0.00_-;\-&quot;$&quot;\ * #,##0.00_-;_-&quot;$&quot;\ * &quot;-&quot;??_-;_-@_-"/>
    <numFmt numFmtId="166" formatCode="_-* #,##0.00_-;\-* #,##0.00_-;_-* &quot;-&quot;??_-;_-@_-"/>
    <numFmt numFmtId="167" formatCode="_ * #,##0.00_ ;_ * \-#,##0.00_ ;_ * &quot;-&quot;??_ ;_ @_ "/>
    <numFmt numFmtId="168" formatCode="_ * #,##0_ ;_ * \-#,##0_ ;_ * &quot;-&quot;??_ ;_ @_ "/>
    <numFmt numFmtId="169" formatCode="_ [$$-240A]\ * #,##0.00_ ;_ [$$-240A]\ * \-#,##0.00_ ;_ [$$-240A]\ * &quot;-&quot;??_ ;_ @_ "/>
    <numFmt numFmtId="170" formatCode="_ &quot;$&quot;\ * #,##0.00_ ;_ &quot;$&quot;\ * \-#,##0.00_ ;_ &quot;$&quot;\ * &quot;-&quot;??_ ;_ @_ "/>
    <numFmt numFmtId="171" formatCode="_ &quot;$&quot;\ * #,##0_ ;_ &quot;$&quot;\ * \-#,##0_ ;_ &quot;$&quot;\ * &quot;-&quot;??_ ;_ @_ "/>
    <numFmt numFmtId="172" formatCode="#,##0.0"/>
    <numFmt numFmtId="173" formatCode="_-&quot;$&quot;\ * #,##0_-;\-&quot;$&quot;\ * #,##0_-;_-&quot;$&quot;\ * &quot;-&quot;??_-;_-@_-"/>
    <numFmt numFmtId="174" formatCode="_ [$$-240A]\ * #,##0_ ;_ [$$-240A]\ * \-#,##0_ ;_ [$$-240A]\ * &quot;-&quot;??_ ;_ @_ 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Verdana"/>
      <family val="2"/>
    </font>
    <font>
      <sz val="10"/>
      <name val="Arial"/>
      <family val="2"/>
    </font>
    <font>
      <sz val="10"/>
      <name val="Verdana"/>
      <family val="2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b/>
      <sz val="9"/>
      <name val="Verdana"/>
      <family val="2"/>
    </font>
    <font>
      <sz val="9"/>
      <name val="Verdana"/>
      <family val="2"/>
    </font>
    <font>
      <sz val="9"/>
      <name val="Arial"/>
      <family val="2"/>
    </font>
    <font>
      <b/>
      <sz val="9"/>
      <name val="Arial"/>
      <family val="2"/>
    </font>
    <font>
      <b/>
      <u/>
      <sz val="8"/>
      <name val="Arial"/>
      <family val="2"/>
    </font>
    <font>
      <b/>
      <sz val="11"/>
      <name val="Arial Black"/>
      <family val="2"/>
    </font>
    <font>
      <sz val="14"/>
      <name val="Verdana"/>
      <family val="2"/>
    </font>
    <font>
      <b/>
      <u/>
      <sz val="14"/>
      <name val="Verdana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6"/>
      <name val="Verdana"/>
      <family val="2"/>
    </font>
    <font>
      <sz val="11"/>
      <name val="Symbol"/>
      <family val="1"/>
      <charset val="2"/>
    </font>
    <font>
      <sz val="7"/>
      <name val="Times New Roman"/>
      <family val="1"/>
    </font>
    <font>
      <sz val="11"/>
      <name val="Calibri"/>
      <family val="2"/>
    </font>
    <font>
      <sz val="12"/>
      <name val="Symbol"/>
      <family val="1"/>
      <charset val="2"/>
    </font>
    <font>
      <sz val="12"/>
      <name val="Times New Roman"/>
      <family val="1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rgb="FFFFFFFF"/>
        <bgColor rgb="FF000000"/>
      </patternFill>
    </fill>
  </fills>
  <borders count="2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4" fillId="0" borderId="0"/>
    <xf numFmtId="0" fontId="2" fillId="0" borderId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</cellStyleXfs>
  <cellXfs count="201">
    <xf numFmtId="0" fontId="0" fillId="0" borderId="0" xfId="0"/>
    <xf numFmtId="0" fontId="3" fillId="2" borderId="4" xfId="0" applyFont="1" applyFill="1" applyBorder="1"/>
    <xf numFmtId="168" fontId="5" fillId="2" borderId="2" xfId="1" applyNumberFormat="1" applyFont="1" applyFill="1" applyBorder="1"/>
    <xf numFmtId="168" fontId="5" fillId="2" borderId="4" xfId="1" applyNumberFormat="1" applyFont="1" applyFill="1" applyBorder="1"/>
    <xf numFmtId="0" fontId="5" fillId="2" borderId="2" xfId="0" applyFont="1" applyFill="1" applyBorder="1"/>
    <xf numFmtId="0" fontId="3" fillId="2" borderId="5" xfId="0" applyFont="1" applyFill="1" applyBorder="1"/>
    <xf numFmtId="168" fontId="5" fillId="2" borderId="6" xfId="1" applyNumberFormat="1" applyFont="1" applyFill="1" applyBorder="1"/>
    <xf numFmtId="0" fontId="5" fillId="2" borderId="6" xfId="0" applyFont="1" applyFill="1" applyBorder="1"/>
    <xf numFmtId="168" fontId="5" fillId="0" borderId="6" xfId="3" applyNumberFormat="1" applyFont="1" applyFill="1" applyBorder="1"/>
    <xf numFmtId="0" fontId="5" fillId="2" borderId="5" xfId="0" applyFont="1" applyFill="1" applyBorder="1"/>
    <xf numFmtId="0" fontId="5" fillId="2" borderId="6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7" fillId="2" borderId="5" xfId="0" applyFont="1" applyFill="1" applyBorder="1"/>
    <xf numFmtId="0" fontId="6" fillId="2" borderId="5" xfId="0" applyFont="1" applyFill="1" applyBorder="1"/>
    <xf numFmtId="49" fontId="5" fillId="2" borderId="5" xfId="0" applyNumberFormat="1" applyFont="1" applyFill="1" applyBorder="1"/>
    <xf numFmtId="168" fontId="3" fillId="0" borderId="6" xfId="3" applyNumberFormat="1" applyFont="1" applyFill="1" applyBorder="1"/>
    <xf numFmtId="0" fontId="3" fillId="2" borderId="5" xfId="0" applyFont="1" applyFill="1" applyBorder="1" applyAlignment="1">
      <alignment wrapText="1"/>
    </xf>
    <xf numFmtId="49" fontId="3" fillId="2" borderId="5" xfId="0" applyNumberFormat="1" applyFont="1" applyFill="1" applyBorder="1"/>
    <xf numFmtId="49" fontId="5" fillId="2" borderId="6" xfId="0" applyNumberFormat="1" applyFont="1" applyFill="1" applyBorder="1"/>
    <xf numFmtId="3" fontId="5" fillId="0" borderId="6" xfId="4" applyNumberFormat="1" applyFont="1" applyBorder="1"/>
    <xf numFmtId="0" fontId="0" fillId="2" borderId="5" xfId="0" applyFill="1" applyBorder="1" applyAlignment="1">
      <alignment horizontal="left" vertical="center" wrapText="1"/>
    </xf>
    <xf numFmtId="3" fontId="3" fillId="2" borderId="5" xfId="0" applyNumberFormat="1" applyFont="1" applyFill="1" applyBorder="1"/>
    <xf numFmtId="49" fontId="5" fillId="2" borderId="6" xfId="0" applyNumberFormat="1" applyFont="1" applyFill="1" applyBorder="1" applyAlignment="1">
      <alignment wrapText="1"/>
    </xf>
    <xf numFmtId="0" fontId="5" fillId="0" borderId="0" xfId="0" applyFont="1" applyAlignment="1">
      <alignment wrapText="1"/>
    </xf>
    <xf numFmtId="49" fontId="3" fillId="2" borderId="5" xfId="0" applyNumberFormat="1" applyFont="1" applyFill="1" applyBorder="1" applyAlignment="1">
      <alignment wrapText="1"/>
    </xf>
    <xf numFmtId="168" fontId="5" fillId="2" borderId="6" xfId="3" applyNumberFormat="1" applyFont="1" applyFill="1" applyBorder="1"/>
    <xf numFmtId="49" fontId="3" fillId="2" borderId="6" xfId="0" applyNumberFormat="1" applyFont="1" applyFill="1" applyBorder="1" applyAlignment="1">
      <alignment wrapText="1"/>
    </xf>
    <xf numFmtId="0" fontId="5" fillId="2" borderId="7" xfId="0" applyFont="1" applyFill="1" applyBorder="1"/>
    <xf numFmtId="168" fontId="5" fillId="2" borderId="3" xfId="3" applyNumberFormat="1" applyFont="1" applyFill="1" applyBorder="1"/>
    <xf numFmtId="0" fontId="5" fillId="2" borderId="3" xfId="0" applyFont="1" applyFill="1" applyBorder="1"/>
    <xf numFmtId="0" fontId="3" fillId="2" borderId="8" xfId="0" applyFont="1" applyFill="1" applyBorder="1" applyAlignment="1">
      <alignment horizontal="center"/>
    </xf>
    <xf numFmtId="168" fontId="5" fillId="2" borderId="9" xfId="3" applyNumberFormat="1" applyFont="1" applyFill="1" applyBorder="1"/>
    <xf numFmtId="168" fontId="3" fillId="2" borderId="0" xfId="1" applyNumberFormat="1" applyFont="1" applyFill="1" applyBorder="1"/>
    <xf numFmtId="0" fontId="5" fillId="2" borderId="0" xfId="0" applyFont="1" applyFill="1"/>
    <xf numFmtId="168" fontId="0" fillId="0" borderId="0" xfId="0" applyNumberFormat="1"/>
    <xf numFmtId="0" fontId="9" fillId="2" borderId="9" xfId="0" applyFont="1" applyFill="1" applyBorder="1" applyAlignment="1">
      <alignment horizontal="center"/>
    </xf>
    <xf numFmtId="3" fontId="9" fillId="2" borderId="9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vertical="top"/>
    </xf>
    <xf numFmtId="3" fontId="10" fillId="2" borderId="2" xfId="0" applyNumberFormat="1" applyFont="1" applyFill="1" applyBorder="1" applyAlignment="1">
      <alignment vertical="top"/>
    </xf>
    <xf numFmtId="0" fontId="10" fillId="2" borderId="2" xfId="0" quotePrefix="1" applyFont="1" applyFill="1" applyBorder="1" applyAlignment="1">
      <alignment vertical="top"/>
    </xf>
    <xf numFmtId="169" fontId="10" fillId="2" borderId="2" xfId="0" quotePrefix="1" applyNumberFormat="1" applyFont="1" applyFill="1" applyBorder="1" applyAlignment="1">
      <alignment vertical="top"/>
    </xf>
    <xf numFmtId="171" fontId="10" fillId="2" borderId="6" xfId="2" applyNumberFormat="1" applyFont="1" applyFill="1" applyBorder="1" applyAlignment="1">
      <alignment vertical="top"/>
    </xf>
    <xf numFmtId="0" fontId="10" fillId="2" borderId="6" xfId="0" applyFont="1" applyFill="1" applyBorder="1" applyAlignment="1">
      <alignment horizontal="center"/>
    </xf>
    <xf numFmtId="169" fontId="10" fillId="2" borderId="6" xfId="0" applyNumberFormat="1" applyFont="1" applyFill="1" applyBorder="1"/>
    <xf numFmtId="49" fontId="5" fillId="2" borderId="5" xfId="0" applyNumberFormat="1" applyFont="1" applyFill="1" applyBorder="1" applyAlignment="1">
      <alignment wrapText="1"/>
    </xf>
    <xf numFmtId="49" fontId="5" fillId="3" borderId="5" xfId="0" applyNumberFormat="1" applyFont="1" applyFill="1" applyBorder="1" applyAlignment="1">
      <alignment wrapText="1"/>
    </xf>
    <xf numFmtId="171" fontId="9" fillId="2" borderId="9" xfId="2" applyNumberFormat="1" applyFont="1" applyFill="1" applyBorder="1" applyAlignment="1">
      <alignment horizontal="center"/>
    </xf>
    <xf numFmtId="169" fontId="9" fillId="2" borderId="9" xfId="0" applyNumberFormat="1" applyFont="1" applyFill="1" applyBorder="1" applyAlignment="1">
      <alignment horizontal="center"/>
    </xf>
    <xf numFmtId="0" fontId="10" fillId="2" borderId="0" xfId="0" applyFont="1" applyFill="1"/>
    <xf numFmtId="0" fontId="9" fillId="2" borderId="0" xfId="0" applyFont="1" applyFill="1"/>
    <xf numFmtId="49" fontId="11" fillId="2" borderId="6" xfId="0" applyNumberFormat="1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49" fontId="12" fillId="2" borderId="6" xfId="0" applyNumberFormat="1" applyFont="1" applyFill="1" applyBorder="1"/>
    <xf numFmtId="3" fontId="12" fillId="2" borderId="6" xfId="0" applyNumberFormat="1" applyFont="1" applyFill="1" applyBorder="1"/>
    <xf numFmtId="10" fontId="12" fillId="2" borderId="6" xfId="0" applyNumberFormat="1" applyFont="1" applyFill="1" applyBorder="1"/>
    <xf numFmtId="3" fontId="12" fillId="2" borderId="6" xfId="4" applyNumberFormat="1" applyFont="1" applyFill="1" applyBorder="1"/>
    <xf numFmtId="169" fontId="11" fillId="2" borderId="6" xfId="0" applyNumberFormat="1" applyFont="1" applyFill="1" applyBorder="1"/>
    <xf numFmtId="169" fontId="12" fillId="2" borderId="6" xfId="0" applyNumberFormat="1" applyFont="1" applyFill="1" applyBorder="1"/>
    <xf numFmtId="3" fontId="12" fillId="2" borderId="5" xfId="4" applyNumberFormat="1" applyFont="1" applyFill="1" applyBorder="1"/>
    <xf numFmtId="49" fontId="12" fillId="2" borderId="5" xfId="0" applyNumberFormat="1" applyFont="1" applyFill="1" applyBorder="1"/>
    <xf numFmtId="49" fontId="12" fillId="2" borderId="0" xfId="0" applyNumberFormat="1" applyFont="1" applyFill="1"/>
    <xf numFmtId="0" fontId="13" fillId="2" borderId="6" xfId="0" applyFont="1" applyFill="1" applyBorder="1" applyAlignment="1">
      <alignment horizontal="justify"/>
    </xf>
    <xf numFmtId="0" fontId="15" fillId="2" borderId="6" xfId="0" applyFont="1" applyFill="1" applyBorder="1" applyAlignment="1">
      <alignment horizontal="justify"/>
    </xf>
    <xf numFmtId="49" fontId="11" fillId="2" borderId="9" xfId="0" applyNumberFormat="1" applyFont="1" applyFill="1" applyBorder="1"/>
    <xf numFmtId="3" fontId="11" fillId="2" borderId="9" xfId="0" applyNumberFormat="1" applyFont="1" applyFill="1" applyBorder="1"/>
    <xf numFmtId="10" fontId="12" fillId="2" borderId="9" xfId="0" applyNumberFormat="1" applyFont="1" applyFill="1" applyBorder="1"/>
    <xf numFmtId="169" fontId="11" fillId="2" borderId="9" xfId="0" applyNumberFormat="1" applyFont="1" applyFill="1" applyBorder="1"/>
    <xf numFmtId="3" fontId="12" fillId="2" borderId="0" xfId="0" applyNumberFormat="1" applyFont="1" applyFill="1"/>
    <xf numFmtId="49" fontId="11" fillId="2" borderId="0" xfId="0" applyNumberFormat="1" applyFont="1" applyFill="1"/>
    <xf numFmtId="10" fontId="11" fillId="2" borderId="9" xfId="0" applyNumberFormat="1" applyFont="1" applyFill="1" applyBorder="1"/>
    <xf numFmtId="10" fontId="12" fillId="2" borderId="0" xfId="0" applyNumberFormat="1" applyFont="1" applyFill="1"/>
    <xf numFmtId="3" fontId="0" fillId="0" borderId="0" xfId="0" applyNumberFormat="1"/>
    <xf numFmtId="49" fontId="12" fillId="2" borderId="2" xfId="0" applyNumberFormat="1" applyFont="1" applyFill="1" applyBorder="1"/>
    <xf numFmtId="169" fontId="12" fillId="2" borderId="6" xfId="4" applyNumberFormat="1" applyFont="1" applyFill="1" applyBorder="1"/>
    <xf numFmtId="10" fontId="11" fillId="2" borderId="6" xfId="0" applyNumberFormat="1" applyFont="1" applyFill="1" applyBorder="1"/>
    <xf numFmtId="49" fontId="11" fillId="2" borderId="6" xfId="0" applyNumberFormat="1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3" fontId="10" fillId="2" borderId="2" xfId="0" applyNumberFormat="1" applyFont="1" applyFill="1" applyBorder="1" applyAlignment="1">
      <alignment horizontal="center" vertical="center"/>
    </xf>
    <xf numFmtId="4" fontId="10" fillId="2" borderId="2" xfId="0" applyNumberFormat="1" applyFont="1" applyFill="1" applyBorder="1" applyAlignment="1">
      <alignment horizontal="center" vertical="center"/>
    </xf>
    <xf numFmtId="169" fontId="10" fillId="2" borderId="2" xfId="0" applyNumberFormat="1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left" vertical="center" wrapText="1"/>
    </xf>
    <xf numFmtId="3" fontId="16" fillId="2" borderId="9" xfId="0" applyNumberFormat="1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3" fontId="9" fillId="2" borderId="0" xfId="0" applyNumberFormat="1" applyFont="1" applyFill="1" applyAlignment="1">
      <alignment horizontal="center"/>
    </xf>
    <xf numFmtId="0" fontId="18" fillId="2" borderId="6" xfId="5" applyFont="1" applyFill="1" applyBorder="1" applyAlignment="1">
      <alignment horizontal="center" vertical="center" wrapText="1"/>
    </xf>
    <xf numFmtId="3" fontId="10" fillId="2" borderId="6" xfId="5" applyNumberFormat="1" applyFont="1" applyFill="1" applyBorder="1" applyAlignment="1">
      <alignment horizontal="center" vertical="center"/>
    </xf>
    <xf numFmtId="0" fontId="10" fillId="2" borderId="6" xfId="0" applyFont="1" applyFill="1" applyBorder="1"/>
    <xf numFmtId="0" fontId="10" fillId="0" borderId="6" xfId="5" applyFont="1" applyBorder="1" applyAlignment="1">
      <alignment horizontal="left" vertical="center" wrapText="1"/>
    </xf>
    <xf numFmtId="172" fontId="10" fillId="2" borderId="6" xfId="5" applyNumberFormat="1" applyFont="1" applyFill="1" applyBorder="1" applyAlignment="1">
      <alignment horizontal="center" vertical="center"/>
    </xf>
    <xf numFmtId="169" fontId="10" fillId="2" borderId="6" xfId="5" applyNumberFormat="1" applyFont="1" applyFill="1" applyBorder="1" applyAlignment="1">
      <alignment horizontal="center" vertical="center"/>
    </xf>
    <xf numFmtId="0" fontId="10" fillId="2" borderId="6" xfId="5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171" fontId="10" fillId="2" borderId="6" xfId="2" applyNumberFormat="1" applyFont="1" applyFill="1" applyBorder="1" applyAlignment="1">
      <alignment horizontal="center"/>
    </xf>
    <xf numFmtId="169" fontId="10" fillId="2" borderId="6" xfId="0" applyNumberFormat="1" applyFont="1" applyFill="1" applyBorder="1" applyAlignment="1">
      <alignment horizontal="center"/>
    </xf>
    <xf numFmtId="171" fontId="9" fillId="2" borderId="6" xfId="2" applyNumberFormat="1" applyFont="1" applyFill="1" applyBorder="1" applyAlignment="1">
      <alignment horizontal="center" vertical="center"/>
    </xf>
    <xf numFmtId="0" fontId="19" fillId="0" borderId="0" xfId="0" applyFont="1"/>
    <xf numFmtId="171" fontId="9" fillId="2" borderId="6" xfId="2" applyNumberFormat="1" applyFont="1" applyFill="1" applyBorder="1" applyAlignment="1">
      <alignment horizontal="center"/>
    </xf>
    <xf numFmtId="0" fontId="19" fillId="2" borderId="0" xfId="0" applyFont="1" applyFill="1"/>
    <xf numFmtId="0" fontId="20" fillId="2" borderId="0" xfId="0" applyFont="1" applyFill="1"/>
    <xf numFmtId="0" fontId="19" fillId="2" borderId="3" xfId="0" applyFont="1" applyFill="1" applyBorder="1"/>
    <xf numFmtId="3" fontId="9" fillId="2" borderId="11" xfId="0" applyNumberFormat="1" applyFont="1" applyFill="1" applyBorder="1" applyAlignment="1">
      <alignment horizontal="center"/>
    </xf>
    <xf numFmtId="3" fontId="9" fillId="2" borderId="14" xfId="0" applyNumberFormat="1" applyFont="1" applyFill="1" applyBorder="1" applyAlignment="1">
      <alignment horizontal="center"/>
    </xf>
    <xf numFmtId="0" fontId="9" fillId="2" borderId="9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wrapText="1"/>
    </xf>
    <xf numFmtId="171" fontId="10" fillId="2" borderId="6" xfId="6" applyNumberFormat="1" applyFont="1" applyFill="1" applyBorder="1" applyAlignment="1">
      <alignment horizontal="center" vertical="center" wrapText="1"/>
    </xf>
    <xf numFmtId="4" fontId="10" fillId="2" borderId="6" xfId="1" applyNumberFormat="1" applyFont="1" applyFill="1" applyBorder="1" applyAlignment="1">
      <alignment horizontal="center"/>
    </xf>
    <xf numFmtId="0" fontId="9" fillId="0" borderId="6" xfId="0" applyFont="1" applyBorder="1" applyAlignment="1">
      <alignment horizontal="center" wrapText="1"/>
    </xf>
    <xf numFmtId="171" fontId="10" fillId="2" borderId="6" xfId="7" applyNumberFormat="1" applyFont="1" applyFill="1" applyBorder="1" applyAlignment="1">
      <alignment horizontal="center"/>
    </xf>
    <xf numFmtId="168" fontId="10" fillId="2" borderId="6" xfId="1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/>
    </xf>
    <xf numFmtId="171" fontId="10" fillId="2" borderId="9" xfId="6" applyNumberFormat="1" applyFont="1" applyFill="1" applyBorder="1" applyAlignment="1">
      <alignment horizontal="center" vertical="center" wrapText="1"/>
    </xf>
    <xf numFmtId="2" fontId="10" fillId="2" borderId="2" xfId="0" applyNumberFormat="1" applyFont="1" applyFill="1" applyBorder="1" applyAlignment="1">
      <alignment horizontal="center" wrapText="1"/>
    </xf>
    <xf numFmtId="168" fontId="9" fillId="2" borderId="2" xfId="0" applyNumberFormat="1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/>
    </xf>
    <xf numFmtId="2" fontId="10" fillId="2" borderId="9" xfId="0" applyNumberFormat="1" applyFont="1" applyFill="1" applyBorder="1" applyAlignment="1">
      <alignment horizontal="center" wrapText="1"/>
    </xf>
    <xf numFmtId="168" fontId="9" fillId="2" borderId="9" xfId="0" applyNumberFormat="1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171" fontId="9" fillId="2" borderId="9" xfId="6" applyNumberFormat="1" applyFont="1" applyFill="1" applyBorder="1" applyAlignment="1">
      <alignment horizontal="center" vertical="center" wrapText="1"/>
    </xf>
    <xf numFmtId="171" fontId="9" fillId="2" borderId="0" xfId="6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 applyAlignment="1">
      <alignment horizontal="center" wrapText="1"/>
    </xf>
    <xf numFmtId="168" fontId="9" fillId="2" borderId="0" xfId="0" applyNumberFormat="1" applyFont="1" applyFill="1" applyAlignment="1">
      <alignment horizontal="center" wrapText="1"/>
    </xf>
    <xf numFmtId="0" fontId="22" fillId="0" borderId="0" xfId="0" applyFont="1" applyAlignment="1">
      <alignment horizontal="justify" vertical="center"/>
    </xf>
    <xf numFmtId="0" fontId="25" fillId="0" borderId="0" xfId="0" applyFont="1" applyAlignment="1">
      <alignment horizontal="justify" vertical="center"/>
    </xf>
    <xf numFmtId="0" fontId="28" fillId="6" borderId="18" xfId="0" applyFont="1" applyFill="1" applyBorder="1" applyAlignment="1">
      <alignment horizontal="center" vertical="center" wrapText="1"/>
    </xf>
    <xf numFmtId="0" fontId="2" fillId="0" borderId="19" xfId="0" applyFont="1" applyBorder="1"/>
    <xf numFmtId="164" fontId="2" fillId="0" borderId="19" xfId="0" applyNumberFormat="1" applyFont="1" applyBorder="1"/>
    <xf numFmtId="171" fontId="0" fillId="0" borderId="0" xfId="0" applyNumberFormat="1"/>
    <xf numFmtId="167" fontId="5" fillId="2" borderId="5" xfId="1" applyNumberFormat="1" applyFont="1" applyFill="1" applyBorder="1"/>
    <xf numFmtId="167" fontId="5" fillId="0" borderId="5" xfId="1" applyNumberFormat="1" applyFont="1" applyFill="1" applyBorder="1"/>
    <xf numFmtId="167" fontId="5" fillId="2" borderId="7" xfId="1" applyNumberFormat="1" applyFont="1" applyFill="1" applyBorder="1"/>
    <xf numFmtId="165" fontId="5" fillId="2" borderId="6" xfId="2" applyFont="1" applyFill="1" applyBorder="1"/>
    <xf numFmtId="168" fontId="5" fillId="2" borderId="0" xfId="1" applyNumberFormat="1" applyFont="1" applyFill="1"/>
    <xf numFmtId="0" fontId="3" fillId="2" borderId="0" xfId="0" applyFont="1" applyFill="1"/>
    <xf numFmtId="0" fontId="3" fillId="2" borderId="0" xfId="0" applyFont="1" applyFill="1" applyAlignment="1">
      <alignment horizontal="center"/>
    </xf>
    <xf numFmtId="168" fontId="3" fillId="2" borderId="0" xfId="0" applyNumberFormat="1" applyFont="1" applyFill="1" applyAlignment="1">
      <alignment horizontal="center"/>
    </xf>
    <xf numFmtId="0" fontId="2" fillId="0" borderId="0" xfId="0" applyFont="1" applyAlignment="1">
      <alignment horizontal="left" vertical="center" wrapText="1" indent="4"/>
    </xf>
    <xf numFmtId="0" fontId="10" fillId="2" borderId="0" xfId="0" applyFont="1" applyFill="1" applyAlignment="1">
      <alignment horizontal="center"/>
    </xf>
    <xf numFmtId="0" fontId="10" fillId="2" borderId="6" xfId="0" applyFont="1" applyFill="1" applyBorder="1" applyAlignment="1">
      <alignment horizontal="center" vertical="center" wrapText="1"/>
    </xf>
    <xf numFmtId="165" fontId="0" fillId="0" borderId="0" xfId="2" applyFont="1"/>
    <xf numFmtId="173" fontId="0" fillId="0" borderId="0" xfId="2" applyNumberFormat="1" applyFont="1"/>
    <xf numFmtId="173" fontId="0" fillId="0" borderId="0" xfId="0" applyNumberFormat="1"/>
    <xf numFmtId="0" fontId="12" fillId="2" borderId="6" xfId="0" applyFont="1" applyFill="1" applyBorder="1"/>
    <xf numFmtId="169" fontId="9" fillId="2" borderId="9" xfId="0" applyNumberFormat="1" applyFont="1" applyFill="1" applyBorder="1"/>
    <xf numFmtId="169" fontId="9" fillId="2" borderId="12" xfId="0" applyNumberFormat="1" applyFont="1" applyFill="1" applyBorder="1"/>
    <xf numFmtId="169" fontId="9" fillId="2" borderId="13" xfId="0" applyNumberFormat="1" applyFont="1" applyFill="1" applyBorder="1"/>
    <xf numFmtId="0" fontId="10" fillId="2" borderId="6" xfId="2" applyNumberFormat="1" applyFont="1" applyFill="1" applyBorder="1" applyAlignment="1">
      <alignment horizontal="center"/>
    </xf>
    <xf numFmtId="174" fontId="10" fillId="2" borderId="6" xfId="0" applyNumberFormat="1" applyFont="1" applyFill="1" applyBorder="1" applyAlignment="1">
      <alignment horizontal="center"/>
    </xf>
    <xf numFmtId="165" fontId="28" fillId="0" borderId="19" xfId="0" applyNumberFormat="1" applyFont="1" applyBorder="1"/>
    <xf numFmtId="3" fontId="5" fillId="7" borderId="9" xfId="0" applyNumberFormat="1" applyFont="1" applyFill="1" applyBorder="1"/>
    <xf numFmtId="0" fontId="2" fillId="0" borderId="19" xfId="0" applyFont="1" applyBorder="1" applyAlignment="1">
      <alignment horizontal="center"/>
    </xf>
    <xf numFmtId="168" fontId="5" fillId="2" borderId="0" xfId="1" applyNumberFormat="1" applyFont="1" applyFill="1" applyBorder="1"/>
    <xf numFmtId="169" fontId="9" fillId="2" borderId="0" xfId="0" applyNumberFormat="1" applyFont="1" applyFill="1" applyAlignment="1">
      <alignment horizontal="center"/>
    </xf>
    <xf numFmtId="0" fontId="30" fillId="0" borderId="0" xfId="0" applyFont="1"/>
    <xf numFmtId="0" fontId="7" fillId="0" borderId="0" xfId="0" applyFont="1"/>
    <xf numFmtId="0" fontId="31" fillId="0" borderId="0" xfId="0" applyFont="1"/>
    <xf numFmtId="173" fontId="2" fillId="0" borderId="19" xfId="0" applyNumberFormat="1" applyFont="1" applyBorder="1"/>
    <xf numFmtId="173" fontId="28" fillId="0" borderId="19" xfId="0" applyNumberFormat="1" applyFont="1" applyBorder="1"/>
    <xf numFmtId="165" fontId="9" fillId="2" borderId="9" xfId="2" applyFont="1" applyFill="1" applyBorder="1"/>
    <xf numFmtId="10" fontId="9" fillId="2" borderId="9" xfId="0" applyNumberFormat="1" applyFont="1" applyFill="1" applyBorder="1"/>
    <xf numFmtId="4" fontId="9" fillId="2" borderId="6" xfId="1" applyNumberFormat="1" applyFont="1" applyFill="1" applyBorder="1" applyAlignment="1">
      <alignment horizontal="center"/>
    </xf>
    <xf numFmtId="168" fontId="9" fillId="2" borderId="6" xfId="1" applyNumberFormat="1" applyFont="1" applyFill="1" applyBorder="1" applyAlignment="1">
      <alignment horizontal="center" vertical="center" wrapText="1"/>
    </xf>
    <xf numFmtId="167" fontId="9" fillId="2" borderId="6" xfId="1" applyNumberFormat="1" applyFont="1" applyFill="1" applyBorder="1" applyAlignment="1">
      <alignment horizontal="center"/>
    </xf>
    <xf numFmtId="168" fontId="9" fillId="2" borderId="6" xfId="1" applyNumberFormat="1" applyFont="1" applyFill="1" applyBorder="1" applyAlignment="1">
      <alignment horizontal="center"/>
    </xf>
    <xf numFmtId="0" fontId="2" fillId="5" borderId="0" xfId="0" applyFont="1" applyFill="1"/>
    <xf numFmtId="0" fontId="2" fillId="0" borderId="0" xfId="0" applyFont="1" applyAlignment="1">
      <alignment wrapText="1"/>
    </xf>
    <xf numFmtId="0" fontId="2" fillId="2" borderId="0" xfId="0" applyFont="1" applyFill="1"/>
    <xf numFmtId="0" fontId="27" fillId="0" borderId="1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" fillId="0" borderId="19" xfId="0" applyFont="1" applyBorder="1" applyAlignment="1">
      <alignment horizontal="center"/>
    </xf>
    <xf numFmtId="0" fontId="29" fillId="2" borderId="0" xfId="0" applyFont="1" applyFill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168" fontId="3" fillId="2" borderId="0" xfId="1" applyNumberFormat="1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3" fontId="11" fillId="2" borderId="2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0" fontId="3" fillId="2" borderId="2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0" fontId="17" fillId="2" borderId="0" xfId="0" applyFont="1" applyFill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31" fillId="0" borderId="14" xfId="0" applyFont="1" applyBorder="1" applyAlignment="1">
      <alignment horizontal="left"/>
    </xf>
    <xf numFmtId="0" fontId="10" fillId="2" borderId="0" xfId="0" applyFont="1" applyFill="1" applyAlignment="1">
      <alignment horizontal="left"/>
    </xf>
    <xf numFmtId="0" fontId="21" fillId="2" borderId="1" xfId="0" applyFont="1" applyFill="1" applyBorder="1" applyAlignment="1">
      <alignment horizontal="center"/>
    </xf>
  </cellXfs>
  <cellStyles count="8">
    <cellStyle name="Millares" xfId="1" builtinId="3"/>
    <cellStyle name="Millares 2" xfId="3" xr:uid="{EB6F4B91-94B3-43B8-848C-23796B628221}"/>
    <cellStyle name="Moneda" xfId="2" builtinId="4"/>
    <cellStyle name="Moneda 2" xfId="7" xr:uid="{D6EEF1C9-320F-4D5B-B6AE-E61EF29F86B1}"/>
    <cellStyle name="Moneda 5" xfId="6" xr:uid="{263FF374-2F90-49BE-B41C-FA89BF649FE7}"/>
    <cellStyle name="Normal" xfId="0" builtinId="0"/>
    <cellStyle name="Normal 2" xfId="4" xr:uid="{B08F472D-E731-4272-972A-72EF53EC0FA9}"/>
    <cellStyle name="Normal_Daños Materiales Combinados" xfId="5" xr:uid="{A08E9BBF-17F8-4AC7-AAA4-969E656AB63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E8DF5-4FEE-4951-B6DB-56FA0FC79AD5}">
  <dimension ref="A2:E26"/>
  <sheetViews>
    <sheetView view="pageBreakPreview" zoomScale="60" zoomScaleNormal="100" workbookViewId="0">
      <selection activeCell="E11" sqref="E11"/>
    </sheetView>
  </sheetViews>
  <sheetFormatPr defaultColWidth="11.42578125" defaultRowHeight="15"/>
  <cols>
    <col min="1" max="1" width="49.5703125" customWidth="1"/>
    <col min="2" max="2" width="22.5703125" customWidth="1"/>
    <col min="3" max="3" width="24.42578125" customWidth="1"/>
    <col min="4" max="4" width="22.85546875" customWidth="1"/>
    <col min="5" max="5" width="19.42578125" customWidth="1"/>
  </cols>
  <sheetData>
    <row r="2" spans="1:5">
      <c r="A2" s="168" t="s">
        <v>0</v>
      </c>
      <c r="B2" s="169"/>
      <c r="C2" s="169"/>
      <c r="D2" s="169"/>
      <c r="E2" s="169"/>
    </row>
    <row r="3" spans="1:5">
      <c r="A3" s="170"/>
      <c r="B3" s="171"/>
      <c r="C3" s="171"/>
      <c r="D3" s="171"/>
      <c r="E3" s="171"/>
    </row>
    <row r="4" spans="1:5">
      <c r="A4" s="170"/>
      <c r="B4" s="171"/>
      <c r="C4" s="171"/>
      <c r="D4" s="171"/>
      <c r="E4" s="171"/>
    </row>
    <row r="5" spans="1:5">
      <c r="A5" s="170"/>
      <c r="B5" s="171"/>
      <c r="C5" s="171"/>
      <c r="D5" s="171"/>
      <c r="E5" s="171"/>
    </row>
    <row r="6" spans="1:5" ht="30.75" thickBot="1">
      <c r="A6" s="125" t="s">
        <v>1</v>
      </c>
      <c r="B6" s="125" t="s">
        <v>2</v>
      </c>
      <c r="C6" s="125" t="s">
        <v>3</v>
      </c>
      <c r="D6" s="125" t="s">
        <v>4</v>
      </c>
      <c r="E6" s="125" t="s">
        <v>5</v>
      </c>
    </row>
    <row r="7" spans="1:5" ht="15.75" thickBot="1">
      <c r="A7" s="126" t="s">
        <v>6</v>
      </c>
      <c r="B7" s="150">
        <f>TRDMESTATAL!B95</f>
        <v>16034062422.425001</v>
      </c>
      <c r="C7" s="157">
        <f>TRDMESTATAL!D96</f>
        <v>25125920.988920003</v>
      </c>
      <c r="D7" s="127">
        <f>C7*19%</f>
        <v>4773924.9878948005</v>
      </c>
      <c r="E7" s="157">
        <f>C7+D7</f>
        <v>29899845.976814803</v>
      </c>
    </row>
    <row r="8" spans="1:5">
      <c r="A8" s="126" t="s">
        <v>7</v>
      </c>
      <c r="B8" s="127">
        <f>MANEJO!B5</f>
        <v>300000000</v>
      </c>
      <c r="C8" s="127">
        <f>MANEJO!D6</f>
        <v>10500000</v>
      </c>
      <c r="D8" s="127">
        <f t="shared" ref="D8:D14" si="0">C8*19%</f>
        <v>1995000</v>
      </c>
      <c r="E8" s="157">
        <f t="shared" ref="E8:E14" si="1">C8+D8</f>
        <v>12495000</v>
      </c>
    </row>
    <row r="9" spans="1:5">
      <c r="A9" s="126" t="s">
        <v>8</v>
      </c>
      <c r="B9" s="127">
        <f>'RCE PLO'!B8</f>
        <v>750000000</v>
      </c>
      <c r="C9" s="127">
        <f>'RCE PLO'!D9</f>
        <v>1500000</v>
      </c>
      <c r="D9" s="127">
        <f t="shared" si="0"/>
        <v>285000</v>
      </c>
      <c r="E9" s="157">
        <f t="shared" si="1"/>
        <v>1785000</v>
      </c>
    </row>
    <row r="10" spans="1:5">
      <c r="A10" s="126" t="s">
        <v>9</v>
      </c>
      <c r="B10" s="127">
        <f>TRMYE!B18</f>
        <v>1271300000</v>
      </c>
      <c r="C10" s="127">
        <f>TRMYE!D18</f>
        <v>12041700</v>
      </c>
      <c r="D10" s="127">
        <f t="shared" si="0"/>
        <v>2287923</v>
      </c>
      <c r="E10" s="157">
        <f t="shared" si="1"/>
        <v>14329623</v>
      </c>
    </row>
    <row r="11" spans="1:5">
      <c r="A11" s="126" t="s">
        <v>10</v>
      </c>
      <c r="B11" s="127">
        <f>AUTOS!B38</f>
        <v>351000000</v>
      </c>
      <c r="C11" s="127">
        <f>AUTOS!D38</f>
        <v>14372000</v>
      </c>
      <c r="D11" s="127">
        <f t="shared" si="0"/>
        <v>2730680</v>
      </c>
      <c r="E11" s="157">
        <f t="shared" si="1"/>
        <v>17102680</v>
      </c>
    </row>
    <row r="12" spans="1:5">
      <c r="A12" s="126" t="s">
        <v>11</v>
      </c>
      <c r="B12" s="127">
        <f>'VIDA GRUPO'!G5</f>
        <v>1311860700</v>
      </c>
      <c r="C12" s="127">
        <f>'VIDA GRUPO'!E4</f>
        <v>8658280.6199999992</v>
      </c>
      <c r="D12" s="127"/>
      <c r="E12" s="157">
        <f t="shared" si="1"/>
        <v>8658280.6199999992</v>
      </c>
    </row>
    <row r="13" spans="1:5">
      <c r="A13" s="126" t="s">
        <v>12</v>
      </c>
      <c r="B13" s="151" t="s">
        <v>13</v>
      </c>
      <c r="C13" s="127">
        <f>SOAT!C13</f>
        <v>780400</v>
      </c>
      <c r="D13" s="127"/>
      <c r="E13" s="157">
        <f t="shared" si="1"/>
        <v>780400</v>
      </c>
    </row>
    <row r="14" spans="1:5">
      <c r="A14" s="126" t="s">
        <v>14</v>
      </c>
      <c r="B14" s="127">
        <f>'RC SP'!B14</f>
        <v>500000000</v>
      </c>
      <c r="C14" s="127">
        <f>'RC SP'!D14</f>
        <v>50000000</v>
      </c>
      <c r="D14" s="127">
        <f t="shared" si="0"/>
        <v>9500000</v>
      </c>
      <c r="E14" s="157">
        <f t="shared" si="1"/>
        <v>59500000</v>
      </c>
    </row>
    <row r="15" spans="1:5">
      <c r="A15" s="172" t="s">
        <v>15</v>
      </c>
      <c r="B15" s="172"/>
      <c r="C15" s="149">
        <f>SUM(C7:C14)</f>
        <v>122978301.60892001</v>
      </c>
      <c r="D15" s="149">
        <f t="shared" ref="D15" si="2">SUM(D7:D14)</f>
        <v>21572527.9878948</v>
      </c>
      <c r="E15" s="158">
        <f>SUM(E7:E14)</f>
        <v>144550829.59681481</v>
      </c>
    </row>
    <row r="20" spans="1:1">
      <c r="A20" t="s">
        <v>16</v>
      </c>
    </row>
    <row r="21" spans="1:1">
      <c r="A21" t="s">
        <v>17</v>
      </c>
    </row>
    <row r="22" spans="1:1">
      <c r="A22" t="s">
        <v>18</v>
      </c>
    </row>
    <row r="23" spans="1:1">
      <c r="A23" t="s">
        <v>19</v>
      </c>
    </row>
    <row r="24" spans="1:1">
      <c r="A24" t="s">
        <v>20</v>
      </c>
    </row>
    <row r="25" spans="1:1">
      <c r="A25" t="s">
        <v>21</v>
      </c>
    </row>
    <row r="26" spans="1:1">
      <c r="A26" t="s">
        <v>22</v>
      </c>
    </row>
  </sheetData>
  <mergeCells count="2">
    <mergeCell ref="A2:E5"/>
    <mergeCell ref="A15:B15"/>
  </mergeCells>
  <pageMargins left="0.7" right="0.7" top="0.75" bottom="0.75" header="0.3" footer="0.3"/>
  <pageSetup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6A5D8-355F-41DD-81FE-00D024E5AFBC}">
  <dimension ref="A1:M115"/>
  <sheetViews>
    <sheetView view="pageBreakPreview" zoomScale="60" zoomScaleNormal="100" workbookViewId="0">
      <selection activeCell="A12" sqref="A12"/>
    </sheetView>
  </sheetViews>
  <sheetFormatPr defaultColWidth="11.42578125" defaultRowHeight="15"/>
  <cols>
    <col min="1" max="1" width="64.140625" customWidth="1"/>
    <col min="2" max="2" width="22.140625" bestFit="1" customWidth="1"/>
    <col min="3" max="3" width="22.140625" customWidth="1"/>
    <col min="4" max="26" width="23.42578125" customWidth="1"/>
  </cols>
  <sheetData>
    <row r="1" spans="1:13">
      <c r="A1" s="176" t="s">
        <v>23</v>
      </c>
      <c r="B1" s="176"/>
      <c r="C1" s="176"/>
      <c r="D1" s="176"/>
    </row>
    <row r="2" spans="1:13" ht="15.75" thickBot="1">
      <c r="A2" s="177"/>
      <c r="B2" s="177"/>
      <c r="C2" s="177"/>
      <c r="D2" s="177"/>
    </row>
    <row r="3" spans="1:13">
      <c r="A3" s="178" t="s">
        <v>24</v>
      </c>
      <c r="B3" s="178" t="s">
        <v>2</v>
      </c>
      <c r="C3" s="178" t="s">
        <v>25</v>
      </c>
      <c r="D3" s="178" t="s">
        <v>26</v>
      </c>
    </row>
    <row r="4" spans="1:13" ht="15.75" thickBot="1">
      <c r="A4" s="179"/>
      <c r="B4" s="179"/>
      <c r="C4" s="179"/>
      <c r="D4" s="179"/>
    </row>
    <row r="5" spans="1:13">
      <c r="A5" s="1"/>
      <c r="B5" s="2"/>
      <c r="C5" s="3"/>
      <c r="D5" s="4"/>
    </row>
    <row r="6" spans="1:13">
      <c r="A6" s="5" t="s">
        <v>27</v>
      </c>
      <c r="B6" s="6"/>
      <c r="C6" s="129"/>
      <c r="D6" s="7"/>
      <c r="F6" t="s">
        <v>28</v>
      </c>
      <c r="G6" t="s">
        <v>29</v>
      </c>
      <c r="H6" t="s">
        <v>30</v>
      </c>
      <c r="I6" t="s">
        <v>31</v>
      </c>
      <c r="J6" t="s">
        <v>32</v>
      </c>
      <c r="K6" t="s">
        <v>33</v>
      </c>
      <c r="L6" t="s">
        <v>34</v>
      </c>
      <c r="M6" t="s">
        <v>35</v>
      </c>
    </row>
    <row r="7" spans="1:13">
      <c r="A7" s="5" t="s">
        <v>36</v>
      </c>
      <c r="B7" s="8">
        <v>1819125000</v>
      </c>
      <c r="C7" s="130">
        <v>1.6</v>
      </c>
      <c r="D7" s="132">
        <f>B7*C7/1000</f>
        <v>2910600</v>
      </c>
      <c r="E7">
        <v>1</v>
      </c>
      <c r="F7" s="34">
        <f>B7</f>
        <v>1819125000</v>
      </c>
      <c r="G7" s="34"/>
      <c r="H7" s="34">
        <f>B9</f>
        <v>262827426</v>
      </c>
      <c r="I7" s="34">
        <f>B10</f>
        <v>95898636.900000006</v>
      </c>
      <c r="J7" s="34">
        <f>B11</f>
        <v>5000000</v>
      </c>
    </row>
    <row r="8" spans="1:13">
      <c r="A8" s="5" t="s">
        <v>37</v>
      </c>
      <c r="B8" s="8"/>
      <c r="C8" s="130"/>
      <c r="D8" s="132">
        <f t="shared" ref="D8:D71" si="0">B8*C8/1000</f>
        <v>0</v>
      </c>
      <c r="E8">
        <v>2</v>
      </c>
      <c r="F8" s="34">
        <f>B15+B17</f>
        <v>674574000.19749999</v>
      </c>
      <c r="G8" s="34"/>
      <c r="K8" s="34">
        <f>B20</f>
        <v>15070107</v>
      </c>
    </row>
    <row r="9" spans="1:13">
      <c r="A9" s="9" t="s">
        <v>38</v>
      </c>
      <c r="B9" s="8">
        <v>262827426</v>
      </c>
      <c r="C9" s="130">
        <v>1.6</v>
      </c>
      <c r="D9" s="132">
        <f t="shared" si="0"/>
        <v>420523.88160000002</v>
      </c>
      <c r="E9">
        <v>3</v>
      </c>
      <c r="F9" s="34">
        <f>B24</f>
        <v>155810999.5275</v>
      </c>
      <c r="G9" s="34"/>
    </row>
    <row r="10" spans="1:13" ht="26.25">
      <c r="A10" s="10" t="s">
        <v>39</v>
      </c>
      <c r="B10" s="8">
        <f>(87180579)*1.1</f>
        <v>95898636.900000006</v>
      </c>
      <c r="C10" s="130">
        <v>1.6</v>
      </c>
      <c r="D10" s="132">
        <f t="shared" si="0"/>
        <v>153437.81904000003</v>
      </c>
      <c r="E10">
        <v>4</v>
      </c>
      <c r="F10" s="34">
        <f>B29</f>
        <v>1684706000</v>
      </c>
      <c r="G10" s="34"/>
      <c r="K10" s="34">
        <f>B31</f>
        <v>143156712</v>
      </c>
    </row>
    <row r="11" spans="1:13">
      <c r="A11" s="7" t="s">
        <v>40</v>
      </c>
      <c r="B11" s="8">
        <v>5000000</v>
      </c>
      <c r="C11" s="130">
        <v>1.6</v>
      </c>
      <c r="D11" s="132">
        <f t="shared" si="0"/>
        <v>8000</v>
      </c>
      <c r="E11">
        <v>5</v>
      </c>
      <c r="F11" s="34">
        <f>B35</f>
        <v>681345000</v>
      </c>
      <c r="G11" s="34"/>
      <c r="H11" s="34">
        <f>B37</f>
        <v>466102509</v>
      </c>
      <c r="I11" s="34">
        <f>B38</f>
        <v>39197672</v>
      </c>
      <c r="K11" s="34">
        <f>B39</f>
        <v>1760828</v>
      </c>
      <c r="L11" s="34">
        <f>B40</f>
        <v>672836</v>
      </c>
      <c r="M11" s="71">
        <f>B41</f>
        <v>409468275</v>
      </c>
    </row>
    <row r="12" spans="1:13">
      <c r="A12" s="9"/>
      <c r="B12" s="8"/>
      <c r="C12" s="130"/>
      <c r="D12" s="132">
        <f t="shared" si="0"/>
        <v>0</v>
      </c>
      <c r="E12">
        <v>6</v>
      </c>
      <c r="F12" s="34">
        <f>B46</f>
        <v>464152500</v>
      </c>
      <c r="G12" s="34"/>
      <c r="H12" s="34">
        <f>B48</f>
        <v>220426460</v>
      </c>
      <c r="I12" s="34">
        <f>B49</f>
        <v>88459431</v>
      </c>
      <c r="J12" s="34">
        <f>B50</f>
        <v>12961918.200000001</v>
      </c>
      <c r="K12" s="34"/>
      <c r="L12" s="34"/>
      <c r="M12" s="71">
        <f>B51+B52+B53</f>
        <v>41702124</v>
      </c>
    </row>
    <row r="13" spans="1:13">
      <c r="A13" s="5" t="s">
        <v>41</v>
      </c>
      <c r="B13" s="8"/>
      <c r="C13" s="130"/>
      <c r="D13" s="132">
        <f t="shared" si="0"/>
        <v>0</v>
      </c>
      <c r="E13">
        <v>7</v>
      </c>
      <c r="F13" s="34">
        <f>B57</f>
        <v>237258000</v>
      </c>
      <c r="G13" s="34"/>
      <c r="K13" s="34">
        <f>B59</f>
        <v>143156712</v>
      </c>
    </row>
    <row r="14" spans="1:13" ht="26.25">
      <c r="A14" s="11" t="s">
        <v>42</v>
      </c>
      <c r="B14" s="8"/>
      <c r="C14" s="130"/>
      <c r="D14" s="132">
        <f t="shared" si="0"/>
        <v>0</v>
      </c>
      <c r="E14">
        <v>8</v>
      </c>
      <c r="F14" s="34">
        <f>B63</f>
        <v>110470500</v>
      </c>
      <c r="G14" s="34"/>
      <c r="K14" s="34">
        <f>B65</f>
        <v>429470137</v>
      </c>
    </row>
    <row r="15" spans="1:13">
      <c r="A15" s="12" t="s">
        <v>43</v>
      </c>
      <c r="B15" s="8">
        <v>617400000</v>
      </c>
      <c r="C15" s="130">
        <v>1.6</v>
      </c>
      <c r="D15" s="132">
        <f t="shared" si="0"/>
        <v>987840</v>
      </c>
      <c r="E15">
        <v>9</v>
      </c>
      <c r="F15" s="34">
        <f>B69</f>
        <v>381597300</v>
      </c>
      <c r="G15" s="34">
        <f>B73</f>
        <v>3376000000.4000001</v>
      </c>
    </row>
    <row r="16" spans="1:13">
      <c r="A16" s="5" t="s">
        <v>44</v>
      </c>
      <c r="B16" s="8"/>
      <c r="C16" s="130"/>
      <c r="D16" s="132">
        <f t="shared" si="0"/>
        <v>0</v>
      </c>
      <c r="E16">
        <v>10</v>
      </c>
      <c r="F16" s="34">
        <f>B77</f>
        <v>869723999.5</v>
      </c>
      <c r="G16" s="34"/>
    </row>
    <row r="17" spans="1:13">
      <c r="A17" s="12" t="s">
        <v>45</v>
      </c>
      <c r="B17" s="8">
        <f>57174017.1975-17</f>
        <v>57174000.197499998</v>
      </c>
      <c r="C17" s="130">
        <v>1.6</v>
      </c>
      <c r="D17" s="132">
        <f t="shared" si="0"/>
        <v>91478.400315999999</v>
      </c>
      <c r="E17">
        <v>11</v>
      </c>
      <c r="F17" s="34">
        <f>B82</f>
        <v>339570000</v>
      </c>
      <c r="G17" s="34"/>
    </row>
    <row r="18" spans="1:13">
      <c r="A18" s="5"/>
      <c r="B18" s="8"/>
      <c r="C18" s="130"/>
      <c r="D18" s="132">
        <f t="shared" si="0"/>
        <v>0</v>
      </c>
      <c r="E18">
        <v>12</v>
      </c>
      <c r="F18" s="34"/>
      <c r="G18" s="34"/>
      <c r="I18" s="34">
        <f>B87</f>
        <v>44807070</v>
      </c>
    </row>
    <row r="19" spans="1:13">
      <c r="A19" s="13" t="s">
        <v>46</v>
      </c>
      <c r="B19" s="8"/>
      <c r="C19" s="130"/>
      <c r="D19" s="132">
        <f t="shared" si="0"/>
        <v>0</v>
      </c>
      <c r="E19" t="s">
        <v>47</v>
      </c>
      <c r="F19" s="34">
        <f>SUM(F7:F18)</f>
        <v>7418333299.2250004</v>
      </c>
      <c r="G19" s="34">
        <f t="shared" ref="G19:M19" si="1">SUM(G7:G18)</f>
        <v>3376000000.4000001</v>
      </c>
      <c r="H19" s="34">
        <f t="shared" si="1"/>
        <v>949356395</v>
      </c>
      <c r="I19" s="34">
        <f t="shared" si="1"/>
        <v>268362809.90000001</v>
      </c>
      <c r="J19" s="34">
        <f t="shared" si="1"/>
        <v>17961918.200000003</v>
      </c>
      <c r="K19" s="34">
        <f t="shared" si="1"/>
        <v>732614496</v>
      </c>
      <c r="L19" s="34">
        <f t="shared" si="1"/>
        <v>672836</v>
      </c>
      <c r="M19" s="34">
        <f t="shared" si="1"/>
        <v>451170399</v>
      </c>
    </row>
    <row r="20" spans="1:13">
      <c r="A20" s="14" t="s">
        <v>48</v>
      </c>
      <c r="B20" s="8">
        <v>15070107</v>
      </c>
      <c r="C20" s="130">
        <v>1.6</v>
      </c>
      <c r="D20" s="132">
        <f t="shared" si="0"/>
        <v>24112.171200000004</v>
      </c>
    </row>
    <row r="21" spans="1:13">
      <c r="A21" s="9"/>
      <c r="B21" s="8"/>
      <c r="C21" s="130"/>
      <c r="D21" s="132">
        <f t="shared" si="0"/>
        <v>0</v>
      </c>
    </row>
    <row r="22" spans="1:13">
      <c r="A22" s="5" t="s">
        <v>49</v>
      </c>
      <c r="B22" s="15"/>
      <c r="C22" s="130"/>
      <c r="D22" s="132">
        <f t="shared" si="0"/>
        <v>0</v>
      </c>
    </row>
    <row r="23" spans="1:13" ht="26.25">
      <c r="A23" s="16" t="s">
        <v>50</v>
      </c>
      <c r="B23" s="15"/>
      <c r="C23" s="130"/>
      <c r="D23" s="132">
        <f t="shared" si="0"/>
        <v>0</v>
      </c>
    </row>
    <row r="24" spans="1:13">
      <c r="A24" s="9" t="s">
        <v>51</v>
      </c>
      <c r="B24" s="8">
        <f>155810780.5275+219</f>
        <v>155810999.5275</v>
      </c>
      <c r="C24" s="130">
        <v>1.6</v>
      </c>
      <c r="D24" s="132">
        <f t="shared" si="0"/>
        <v>249297.59924400001</v>
      </c>
    </row>
    <row r="25" spans="1:13">
      <c r="A25" s="5" t="s">
        <v>37</v>
      </c>
      <c r="B25" s="8"/>
      <c r="C25" s="130"/>
      <c r="D25" s="132">
        <f t="shared" si="0"/>
        <v>0</v>
      </c>
    </row>
    <row r="26" spans="1:13">
      <c r="A26" s="9"/>
      <c r="B26" s="8"/>
      <c r="C26" s="130"/>
      <c r="D26" s="132">
        <f t="shared" si="0"/>
        <v>0</v>
      </c>
    </row>
    <row r="27" spans="1:13">
      <c r="A27" s="5" t="s">
        <v>52</v>
      </c>
      <c r="B27" s="8"/>
      <c r="C27" s="130"/>
      <c r="D27" s="132">
        <f t="shared" si="0"/>
        <v>0</v>
      </c>
    </row>
    <row r="28" spans="1:13" ht="26.25">
      <c r="A28" s="16" t="s">
        <v>53</v>
      </c>
      <c r="B28" s="8"/>
      <c r="C28" s="130"/>
      <c r="D28" s="132">
        <f t="shared" si="0"/>
        <v>0</v>
      </c>
    </row>
    <row r="29" spans="1:13">
      <c r="A29" s="9" t="s">
        <v>54</v>
      </c>
      <c r="B29" s="8">
        <f>1684705995+5</f>
        <v>1684706000</v>
      </c>
      <c r="C29" s="130">
        <v>1.6</v>
      </c>
      <c r="D29" s="132">
        <f t="shared" si="0"/>
        <v>2695529.6</v>
      </c>
    </row>
    <row r="30" spans="1:13">
      <c r="A30" s="5" t="s">
        <v>37</v>
      </c>
      <c r="B30" s="8"/>
      <c r="C30" s="130"/>
      <c r="D30" s="132">
        <f t="shared" si="0"/>
        <v>0</v>
      </c>
    </row>
    <row r="31" spans="1:13">
      <c r="A31" s="9" t="s">
        <v>55</v>
      </c>
      <c r="B31" s="8">
        <v>143156712</v>
      </c>
      <c r="C31" s="130">
        <v>1.6</v>
      </c>
      <c r="D31" s="132">
        <f t="shared" si="0"/>
        <v>229050.73920000001</v>
      </c>
    </row>
    <row r="32" spans="1:13">
      <c r="A32" s="14"/>
      <c r="B32" s="8"/>
      <c r="C32" s="130"/>
      <c r="D32" s="132">
        <f t="shared" si="0"/>
        <v>0</v>
      </c>
    </row>
    <row r="33" spans="1:4">
      <c r="A33" s="17" t="s">
        <v>56</v>
      </c>
      <c r="B33" s="8"/>
      <c r="C33" s="130"/>
      <c r="D33" s="132">
        <f t="shared" si="0"/>
        <v>0</v>
      </c>
    </row>
    <row r="34" spans="1:4">
      <c r="A34" s="17" t="s">
        <v>57</v>
      </c>
      <c r="B34" s="8"/>
      <c r="C34" s="130"/>
      <c r="D34" s="132">
        <f t="shared" si="0"/>
        <v>0</v>
      </c>
    </row>
    <row r="35" spans="1:4">
      <c r="A35" s="9" t="s">
        <v>54</v>
      </c>
      <c r="B35" s="8">
        <v>681345000</v>
      </c>
      <c r="C35" s="130">
        <v>1.6</v>
      </c>
      <c r="D35" s="132">
        <f t="shared" si="0"/>
        <v>1090152</v>
      </c>
    </row>
    <row r="36" spans="1:4">
      <c r="A36" s="5" t="s">
        <v>44</v>
      </c>
      <c r="B36" s="8"/>
      <c r="C36" s="130"/>
      <c r="D36" s="132">
        <f t="shared" si="0"/>
        <v>0</v>
      </c>
    </row>
    <row r="37" spans="1:4">
      <c r="A37" s="9" t="s">
        <v>58</v>
      </c>
      <c r="B37" s="8">
        <v>466102509</v>
      </c>
      <c r="C37" s="130">
        <v>1.6</v>
      </c>
      <c r="D37" s="132">
        <f t="shared" si="0"/>
        <v>745764.0144000001</v>
      </c>
    </row>
    <row r="38" spans="1:4">
      <c r="A38" s="18" t="s">
        <v>59</v>
      </c>
      <c r="B38" s="8">
        <v>39197672</v>
      </c>
      <c r="C38" s="130">
        <v>1.6</v>
      </c>
      <c r="D38" s="132">
        <f t="shared" si="0"/>
        <v>62716.275200000004</v>
      </c>
    </row>
    <row r="39" spans="1:4">
      <c r="A39" s="9" t="s">
        <v>46</v>
      </c>
      <c r="B39" s="8">
        <v>1760828</v>
      </c>
      <c r="C39" s="130">
        <v>1.6</v>
      </c>
      <c r="D39" s="132">
        <f t="shared" si="0"/>
        <v>2817.3248000000003</v>
      </c>
    </row>
    <row r="40" spans="1:4">
      <c r="A40" s="9" t="s">
        <v>60</v>
      </c>
      <c r="B40" s="8">
        <v>672836</v>
      </c>
      <c r="C40" s="130">
        <v>1.6</v>
      </c>
      <c r="D40" s="132">
        <f t="shared" si="0"/>
        <v>1076.5376000000001</v>
      </c>
    </row>
    <row r="41" spans="1:4">
      <c r="A41" s="174" t="s">
        <v>61</v>
      </c>
      <c r="B41" s="19">
        <v>409468275</v>
      </c>
      <c r="C41" s="130">
        <v>1.6</v>
      </c>
      <c r="D41" s="132">
        <f t="shared" si="0"/>
        <v>655149.24</v>
      </c>
    </row>
    <row r="42" spans="1:4">
      <c r="A42" s="175"/>
      <c r="B42" s="15"/>
      <c r="C42" s="130"/>
      <c r="D42" s="132">
        <f t="shared" si="0"/>
        <v>0</v>
      </c>
    </row>
    <row r="43" spans="1:4">
      <c r="A43" s="20"/>
      <c r="B43" s="15"/>
      <c r="C43" s="130"/>
      <c r="D43" s="132">
        <f t="shared" si="0"/>
        <v>0</v>
      </c>
    </row>
    <row r="44" spans="1:4">
      <c r="A44" s="21" t="s">
        <v>62</v>
      </c>
      <c r="B44" s="8"/>
      <c r="C44" s="130"/>
      <c r="D44" s="132">
        <f t="shared" si="0"/>
        <v>0</v>
      </c>
    </row>
    <row r="45" spans="1:4">
      <c r="A45" s="17" t="s">
        <v>63</v>
      </c>
      <c r="B45" s="8"/>
      <c r="C45" s="130"/>
      <c r="D45" s="132">
        <f t="shared" si="0"/>
        <v>0</v>
      </c>
    </row>
    <row r="46" spans="1:4">
      <c r="A46" s="9" t="s">
        <v>64</v>
      </c>
      <c r="B46" s="8">
        <v>464152500</v>
      </c>
      <c r="C46" s="130">
        <v>1.6</v>
      </c>
      <c r="D46" s="132">
        <f t="shared" si="0"/>
        <v>742644</v>
      </c>
    </row>
    <row r="47" spans="1:4">
      <c r="A47" s="5" t="s">
        <v>37</v>
      </c>
      <c r="B47" s="8"/>
      <c r="C47" s="130"/>
      <c r="D47" s="132">
        <f t="shared" si="0"/>
        <v>0</v>
      </c>
    </row>
    <row r="48" spans="1:4">
      <c r="A48" s="9" t="s">
        <v>65</v>
      </c>
      <c r="B48" s="8">
        <v>220426460</v>
      </c>
      <c r="C48" s="130">
        <v>1.6</v>
      </c>
      <c r="D48" s="132">
        <f t="shared" si="0"/>
        <v>352682.33600000001</v>
      </c>
    </row>
    <row r="49" spans="1:4" ht="26.25">
      <c r="A49" s="22" t="s">
        <v>66</v>
      </c>
      <c r="B49" s="8">
        <f>((78802610)*1.1)+1776560</f>
        <v>88459431</v>
      </c>
      <c r="C49" s="130">
        <v>1.6</v>
      </c>
      <c r="D49" s="132">
        <f t="shared" si="0"/>
        <v>141535.08960000001</v>
      </c>
    </row>
    <row r="50" spans="1:4">
      <c r="A50" s="18" t="s">
        <v>67</v>
      </c>
      <c r="B50" s="8">
        <f>(11783562)*1.1</f>
        <v>12961918.200000001</v>
      </c>
      <c r="C50" s="130">
        <v>1.6</v>
      </c>
      <c r="D50" s="132">
        <f t="shared" si="0"/>
        <v>20739.069120000004</v>
      </c>
    </row>
    <row r="51" spans="1:4">
      <c r="A51" s="18" t="s">
        <v>68</v>
      </c>
      <c r="B51" s="8">
        <f>(23574590)*1.1</f>
        <v>25932049.000000004</v>
      </c>
      <c r="C51" s="130">
        <v>1.6</v>
      </c>
      <c r="D51" s="132">
        <f t="shared" si="0"/>
        <v>41491.278400000003</v>
      </c>
    </row>
    <row r="52" spans="1:4">
      <c r="A52" s="14" t="s">
        <v>69</v>
      </c>
      <c r="B52" s="8">
        <v>13000962</v>
      </c>
      <c r="C52" s="130">
        <v>1.6</v>
      </c>
      <c r="D52" s="132">
        <f t="shared" si="0"/>
        <v>20801.539200000003</v>
      </c>
    </row>
    <row r="53" spans="1:4">
      <c r="A53" s="14" t="s">
        <v>70</v>
      </c>
      <c r="B53" s="8">
        <v>2769113</v>
      </c>
      <c r="C53" s="130">
        <v>1.6</v>
      </c>
      <c r="D53" s="132">
        <f t="shared" si="0"/>
        <v>4430.5807999999997</v>
      </c>
    </row>
    <row r="54" spans="1:4">
      <c r="A54" s="5"/>
      <c r="B54" s="8"/>
      <c r="C54" s="130"/>
      <c r="D54" s="132">
        <f t="shared" si="0"/>
        <v>0</v>
      </c>
    </row>
    <row r="55" spans="1:4">
      <c r="A55" s="5" t="s">
        <v>71</v>
      </c>
      <c r="B55" s="8"/>
      <c r="C55" s="130"/>
      <c r="D55" s="132">
        <f t="shared" si="0"/>
        <v>0</v>
      </c>
    </row>
    <row r="56" spans="1:4">
      <c r="A56" s="17" t="s">
        <v>72</v>
      </c>
      <c r="B56" s="8"/>
      <c r="C56" s="130"/>
      <c r="D56" s="132">
        <f t="shared" si="0"/>
        <v>0</v>
      </c>
    </row>
    <row r="57" spans="1:4">
      <c r="A57" s="9" t="s">
        <v>54</v>
      </c>
      <c r="B57" s="8">
        <v>237258000</v>
      </c>
      <c r="C57" s="130">
        <v>1.6</v>
      </c>
      <c r="D57" s="132">
        <f t="shared" si="0"/>
        <v>379612.8</v>
      </c>
    </row>
    <row r="58" spans="1:4">
      <c r="A58" s="5" t="s">
        <v>44</v>
      </c>
      <c r="B58" s="8"/>
      <c r="C58" s="130"/>
      <c r="D58" s="132">
        <f t="shared" si="0"/>
        <v>0</v>
      </c>
    </row>
    <row r="59" spans="1:4">
      <c r="A59" s="9" t="s">
        <v>46</v>
      </c>
      <c r="B59" s="8">
        <v>143156712</v>
      </c>
      <c r="C59" s="130">
        <v>1.6</v>
      </c>
      <c r="D59" s="132">
        <f t="shared" si="0"/>
        <v>229050.73920000001</v>
      </c>
    </row>
    <row r="60" spans="1:4">
      <c r="A60" s="9"/>
      <c r="B60" s="8"/>
      <c r="C60" s="130"/>
      <c r="D60" s="132">
        <f t="shared" si="0"/>
        <v>0</v>
      </c>
    </row>
    <row r="61" spans="1:4">
      <c r="A61" s="5" t="s">
        <v>73</v>
      </c>
      <c r="B61" s="8"/>
      <c r="C61" s="130"/>
      <c r="D61" s="132">
        <f t="shared" si="0"/>
        <v>0</v>
      </c>
    </row>
    <row r="62" spans="1:4">
      <c r="A62" s="17" t="s">
        <v>74</v>
      </c>
      <c r="B62" s="8"/>
      <c r="C62" s="130"/>
      <c r="D62" s="132">
        <f t="shared" si="0"/>
        <v>0</v>
      </c>
    </row>
    <row r="63" spans="1:4">
      <c r="A63" s="9" t="s">
        <v>54</v>
      </c>
      <c r="B63" s="8">
        <v>110470500</v>
      </c>
      <c r="C63" s="130">
        <v>1.6</v>
      </c>
      <c r="D63" s="132">
        <f t="shared" si="0"/>
        <v>176752.8</v>
      </c>
    </row>
    <row r="64" spans="1:4">
      <c r="A64" s="5" t="s">
        <v>44</v>
      </c>
      <c r="B64" s="8"/>
      <c r="C64" s="130"/>
      <c r="D64" s="132">
        <f t="shared" si="0"/>
        <v>0</v>
      </c>
    </row>
    <row r="65" spans="1:4">
      <c r="A65" s="9" t="s">
        <v>46</v>
      </c>
      <c r="B65" s="8">
        <v>429470137</v>
      </c>
      <c r="C65" s="130">
        <v>1.6</v>
      </c>
      <c r="D65" s="132">
        <f t="shared" si="0"/>
        <v>687152.21920000005</v>
      </c>
    </row>
    <row r="66" spans="1:4">
      <c r="A66" s="17"/>
      <c r="B66" s="8"/>
      <c r="C66" s="130"/>
      <c r="D66" s="132">
        <f t="shared" si="0"/>
        <v>0</v>
      </c>
    </row>
    <row r="67" spans="1:4">
      <c r="A67" s="5" t="s">
        <v>75</v>
      </c>
      <c r="B67" s="8"/>
      <c r="C67" s="130"/>
      <c r="D67" s="132">
        <f t="shared" si="0"/>
        <v>0</v>
      </c>
    </row>
    <row r="68" spans="1:4">
      <c r="A68" s="17" t="s">
        <v>76</v>
      </c>
      <c r="B68" s="8"/>
      <c r="C68" s="130"/>
      <c r="D68" s="132">
        <f t="shared" si="0"/>
        <v>0</v>
      </c>
    </row>
    <row r="69" spans="1:4">
      <c r="A69" s="9" t="s">
        <v>77</v>
      </c>
      <c r="B69" s="8">
        <v>381597300</v>
      </c>
      <c r="C69" s="130">
        <v>1.6</v>
      </c>
      <c r="D69" s="132">
        <f t="shared" si="0"/>
        <v>610555.68000000005</v>
      </c>
    </row>
    <row r="70" spans="1:4">
      <c r="A70" s="5" t="s">
        <v>44</v>
      </c>
      <c r="B70" s="8"/>
      <c r="C70" s="130"/>
      <c r="D70" s="132">
        <f t="shared" si="0"/>
        <v>0</v>
      </c>
    </row>
    <row r="71" spans="1:4">
      <c r="A71" s="17" t="s">
        <v>78</v>
      </c>
      <c r="B71" s="8"/>
      <c r="C71" s="130"/>
      <c r="D71" s="132">
        <f t="shared" si="0"/>
        <v>0</v>
      </c>
    </row>
    <row r="72" spans="1:4">
      <c r="A72" s="5" t="s">
        <v>44</v>
      </c>
      <c r="B72" s="8"/>
      <c r="C72" s="130"/>
      <c r="D72" s="132">
        <f t="shared" ref="D72:D93" si="2">B72*C72/1000</f>
        <v>0</v>
      </c>
    </row>
    <row r="73" spans="1:4" ht="39">
      <c r="A73" s="23" t="s">
        <v>79</v>
      </c>
      <c r="B73" s="8">
        <f>3375999089.4+1000-89</f>
        <v>3376000000.4000001</v>
      </c>
      <c r="C73" s="130">
        <v>1.6</v>
      </c>
      <c r="D73" s="132">
        <f t="shared" si="2"/>
        <v>5401600.0006400002</v>
      </c>
    </row>
    <row r="74" spans="1:4">
      <c r="A74" s="5"/>
      <c r="B74" s="8"/>
      <c r="C74" s="130"/>
      <c r="D74" s="132">
        <f t="shared" si="2"/>
        <v>0</v>
      </c>
    </row>
    <row r="75" spans="1:4">
      <c r="A75" s="5" t="s">
        <v>80</v>
      </c>
      <c r="B75" s="8"/>
      <c r="C75" s="130"/>
      <c r="D75" s="132">
        <f t="shared" si="2"/>
        <v>0</v>
      </c>
    </row>
    <row r="76" spans="1:4" ht="26.25">
      <c r="A76" s="24" t="s">
        <v>81</v>
      </c>
      <c r="B76" s="8"/>
      <c r="C76" s="130"/>
      <c r="D76" s="132">
        <f t="shared" si="2"/>
        <v>0</v>
      </c>
    </row>
    <row r="77" spans="1:4">
      <c r="A77" s="9" t="s">
        <v>54</v>
      </c>
      <c r="B77" s="8">
        <f>869723662.5+337</f>
        <v>869723999.5</v>
      </c>
      <c r="C77" s="130">
        <v>1.6</v>
      </c>
      <c r="D77" s="132">
        <f t="shared" si="2"/>
        <v>1391558.3992000001</v>
      </c>
    </row>
    <row r="78" spans="1:4">
      <c r="A78" s="5" t="s">
        <v>44</v>
      </c>
      <c r="B78" s="8"/>
      <c r="C78" s="130"/>
      <c r="D78" s="132">
        <f t="shared" si="2"/>
        <v>0</v>
      </c>
    </row>
    <row r="79" spans="1:4">
      <c r="A79" s="5"/>
      <c r="B79" s="8"/>
      <c r="C79" s="130"/>
      <c r="D79" s="132">
        <f t="shared" si="2"/>
        <v>0</v>
      </c>
    </row>
    <row r="80" spans="1:4">
      <c r="A80" s="5" t="s">
        <v>82</v>
      </c>
      <c r="B80" s="8"/>
      <c r="C80" s="130"/>
      <c r="D80" s="132">
        <f t="shared" si="2"/>
        <v>0</v>
      </c>
    </row>
    <row r="81" spans="1:4">
      <c r="A81" s="17" t="s">
        <v>83</v>
      </c>
      <c r="B81" s="8"/>
      <c r="C81" s="130"/>
      <c r="D81" s="132">
        <f t="shared" si="2"/>
        <v>0</v>
      </c>
    </row>
    <row r="82" spans="1:4">
      <c r="A82" s="9" t="s">
        <v>54</v>
      </c>
      <c r="B82" s="8">
        <v>339570000</v>
      </c>
      <c r="C82" s="130">
        <v>1.6</v>
      </c>
      <c r="D82" s="132">
        <f t="shared" si="2"/>
        <v>543312</v>
      </c>
    </row>
    <row r="83" spans="1:4">
      <c r="A83" s="5" t="s">
        <v>44</v>
      </c>
      <c r="B83" s="8"/>
      <c r="C83" s="130"/>
      <c r="D83" s="132">
        <f t="shared" si="2"/>
        <v>0</v>
      </c>
    </row>
    <row r="84" spans="1:4">
      <c r="A84" s="5"/>
      <c r="B84" s="8"/>
      <c r="C84" s="130"/>
      <c r="D84" s="132">
        <f t="shared" si="2"/>
        <v>0</v>
      </c>
    </row>
    <row r="85" spans="1:4">
      <c r="A85" s="5" t="s">
        <v>84</v>
      </c>
      <c r="B85" s="8"/>
      <c r="C85" s="130"/>
      <c r="D85" s="132">
        <f t="shared" si="2"/>
        <v>0</v>
      </c>
    </row>
    <row r="86" spans="1:4" ht="26.25">
      <c r="A86" s="24" t="s">
        <v>85</v>
      </c>
      <c r="B86" s="8"/>
      <c r="C86" s="130"/>
      <c r="D86" s="132">
        <f t="shared" si="2"/>
        <v>0</v>
      </c>
    </row>
    <row r="87" spans="1:4" ht="26.25">
      <c r="A87" s="22" t="s">
        <v>86</v>
      </c>
      <c r="B87" s="8">
        <f>(40733700)*1.1</f>
        <v>44807070</v>
      </c>
      <c r="C87" s="130">
        <v>1.6</v>
      </c>
      <c r="D87" s="132">
        <f t="shared" si="2"/>
        <v>71691.312000000005</v>
      </c>
    </row>
    <row r="88" spans="1:4">
      <c r="A88" s="5"/>
      <c r="B88" s="25"/>
      <c r="C88" s="129"/>
      <c r="D88" s="132">
        <f t="shared" si="2"/>
        <v>0</v>
      </c>
    </row>
    <row r="89" spans="1:4">
      <c r="A89" s="17" t="s">
        <v>87</v>
      </c>
      <c r="B89" s="25">
        <f>13214472154*5%+1</f>
        <v>660723608.70000005</v>
      </c>
      <c r="C89" s="129">
        <f>C87/2</f>
        <v>0.8</v>
      </c>
      <c r="D89" s="132">
        <f t="shared" si="2"/>
        <v>528578.88696000003</v>
      </c>
    </row>
    <row r="90" spans="1:4">
      <c r="A90" s="17"/>
      <c r="B90" s="25"/>
      <c r="C90" s="129"/>
      <c r="D90" s="132">
        <f t="shared" si="2"/>
        <v>0</v>
      </c>
    </row>
    <row r="91" spans="1:4" ht="39">
      <c r="A91" s="26" t="s">
        <v>88</v>
      </c>
      <c r="B91" s="8">
        <f>10794333300*0.1</f>
        <v>1079433330</v>
      </c>
      <c r="C91" s="129">
        <v>1.6</v>
      </c>
      <c r="D91" s="132">
        <f t="shared" si="2"/>
        <v>1727093.328</v>
      </c>
    </row>
    <row r="92" spans="1:4">
      <c r="A92" s="26"/>
      <c r="B92" s="8"/>
      <c r="C92" s="129"/>
      <c r="D92" s="132">
        <f t="shared" si="2"/>
        <v>0</v>
      </c>
    </row>
    <row r="93" spans="1:4" ht="26.25">
      <c r="A93" s="26" t="s">
        <v>89</v>
      </c>
      <c r="B93" s="8">
        <f>10794333300*0.1</f>
        <v>1079433330</v>
      </c>
      <c r="C93" s="129">
        <v>1.6</v>
      </c>
      <c r="D93" s="132">
        <f t="shared" si="2"/>
        <v>1727093.328</v>
      </c>
    </row>
    <row r="94" spans="1:4" ht="15.75" thickBot="1">
      <c r="A94" s="27"/>
      <c r="B94" s="28"/>
      <c r="C94" s="131"/>
      <c r="D94" s="29"/>
    </row>
    <row r="95" spans="1:4" ht="15.75" thickBot="1">
      <c r="A95" s="30" t="s">
        <v>90</v>
      </c>
      <c r="B95" s="31">
        <f>SUM(B6:B93)</f>
        <v>16034062422.425001</v>
      </c>
      <c r="C95" s="32"/>
      <c r="D95" s="33"/>
    </row>
    <row r="96" spans="1:4" ht="15.75" thickBot="1">
      <c r="A96" s="33"/>
      <c r="B96" s="133"/>
      <c r="C96" s="35" t="s">
        <v>91</v>
      </c>
      <c r="D96" s="159">
        <f>SUM(D6:D93)</f>
        <v>25125920.988920003</v>
      </c>
    </row>
    <row r="97" spans="1:4" ht="15.75" thickBot="1">
      <c r="A97" s="33"/>
      <c r="B97" s="133"/>
      <c r="C97" s="35" t="s">
        <v>4</v>
      </c>
      <c r="D97" s="159">
        <f>D96*19%</f>
        <v>4773924.9878948005</v>
      </c>
    </row>
    <row r="98" spans="1:4" ht="15.75" thickBot="1">
      <c r="A98" s="33"/>
      <c r="B98" s="133"/>
      <c r="C98" s="35" t="s">
        <v>92</v>
      </c>
      <c r="D98" s="159">
        <f>D96+D97</f>
        <v>29899845.976814803</v>
      </c>
    </row>
    <row r="99" spans="1:4">
      <c r="A99" s="134" t="s">
        <v>93</v>
      </c>
      <c r="B99" s="152"/>
      <c r="C99" s="135"/>
      <c r="D99" s="33"/>
    </row>
    <row r="100" spans="1:4" ht="20.25" customHeight="1">
      <c r="A100" s="33" t="s">
        <v>94</v>
      </c>
      <c r="B100" s="173" t="s">
        <v>95</v>
      </c>
      <c r="C100" s="173"/>
      <c r="D100" s="33"/>
    </row>
    <row r="101" spans="1:4">
      <c r="A101" s="33" t="s">
        <v>96</v>
      </c>
      <c r="B101" s="152" t="s">
        <v>97</v>
      </c>
      <c r="C101" s="135"/>
      <c r="D101" s="33"/>
    </row>
    <row r="102" spans="1:4">
      <c r="A102" s="33" t="s">
        <v>98</v>
      </c>
      <c r="B102" s="133" t="s">
        <v>99</v>
      </c>
      <c r="C102" s="136"/>
      <c r="D102" s="33"/>
    </row>
    <row r="103" spans="1:4">
      <c r="A103" s="33" t="s">
        <v>100</v>
      </c>
      <c r="B103" s="133" t="s">
        <v>101</v>
      </c>
      <c r="C103" s="136"/>
      <c r="D103" s="33"/>
    </row>
    <row r="104" spans="1:4">
      <c r="A104" s="33" t="s">
        <v>102</v>
      </c>
      <c r="B104" s="133" t="s">
        <v>101</v>
      </c>
      <c r="C104" s="136"/>
      <c r="D104" s="33"/>
    </row>
    <row r="105" spans="1:4">
      <c r="A105" s="33" t="s">
        <v>103</v>
      </c>
      <c r="B105" s="133"/>
      <c r="C105" s="136"/>
      <c r="D105" s="33"/>
    </row>
    <row r="106" spans="1:4">
      <c r="A106" s="33" t="s">
        <v>104</v>
      </c>
      <c r="B106" s="133" t="s">
        <v>101</v>
      </c>
      <c r="C106" s="136"/>
      <c r="D106" s="33"/>
    </row>
    <row r="107" spans="1:4">
      <c r="A107" s="33" t="s">
        <v>105</v>
      </c>
      <c r="B107" s="133" t="s">
        <v>99</v>
      </c>
      <c r="C107" s="135"/>
      <c r="D107" s="33"/>
    </row>
    <row r="108" spans="1:4">
      <c r="A108" s="33" t="s">
        <v>106</v>
      </c>
      <c r="B108" s="133" t="s">
        <v>107</v>
      </c>
      <c r="C108" s="133"/>
      <c r="D108" s="135"/>
    </row>
    <row r="109" spans="1:4">
      <c r="A109" s="33" t="s">
        <v>108</v>
      </c>
      <c r="B109" s="133" t="s">
        <v>109</v>
      </c>
      <c r="C109" s="133"/>
      <c r="D109" s="33"/>
    </row>
    <row r="110" spans="1:4">
      <c r="A110" s="33" t="s">
        <v>110</v>
      </c>
      <c r="B110" s="133" t="s">
        <v>101</v>
      </c>
      <c r="C110" s="133"/>
      <c r="D110" s="33"/>
    </row>
    <row r="111" spans="1:4">
      <c r="A111" t="s">
        <v>111</v>
      </c>
      <c r="B111" t="s">
        <v>112</v>
      </c>
    </row>
    <row r="112" spans="1:4">
      <c r="A112" t="s">
        <v>113</v>
      </c>
      <c r="B112" t="s">
        <v>101</v>
      </c>
    </row>
    <row r="114" spans="1:1">
      <c r="A114" s="135" t="s">
        <v>114</v>
      </c>
    </row>
    <row r="115" spans="1:1" ht="63.75">
      <c r="A115" s="137" t="s">
        <v>115</v>
      </c>
    </row>
  </sheetData>
  <mergeCells count="7">
    <mergeCell ref="B100:C100"/>
    <mergeCell ref="A41:A42"/>
    <mergeCell ref="A1:D2"/>
    <mergeCell ref="A3:A4"/>
    <mergeCell ref="B3:B4"/>
    <mergeCell ref="C3:C4"/>
    <mergeCell ref="D3:D4"/>
  </mergeCells>
  <pageMargins left="0.7" right="0.7" top="0.75" bottom="0.75" header="0.3" footer="0.3"/>
  <pageSetup scale="68" orientation="portrait" r:id="rId1"/>
  <colBreaks count="1" manualBreakCount="1">
    <brk id="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493F5-32A1-4AD8-BA57-BF4ACE6A4525}">
  <dimension ref="A1:H26"/>
  <sheetViews>
    <sheetView view="pageBreakPreview" topLeftCell="A4" zoomScale="60" zoomScaleNormal="100" workbookViewId="0">
      <selection activeCell="C18" sqref="C18:D21"/>
    </sheetView>
  </sheetViews>
  <sheetFormatPr defaultColWidth="11.42578125" defaultRowHeight="15"/>
  <cols>
    <col min="1" max="1" width="53.7109375" customWidth="1"/>
    <col min="2" max="2" width="23.140625" bestFit="1" customWidth="1"/>
    <col min="3" max="3" width="13.7109375" customWidth="1"/>
    <col min="4" max="4" width="23.140625" bestFit="1" customWidth="1"/>
    <col min="6" max="6" width="19.28515625" bestFit="1" customWidth="1"/>
    <col min="8" max="8" width="13" bestFit="1" customWidth="1"/>
  </cols>
  <sheetData>
    <row r="1" spans="1:8">
      <c r="A1" s="180" t="s">
        <v>116</v>
      </c>
      <c r="B1" s="181"/>
      <c r="C1" s="181"/>
      <c r="D1" s="182"/>
    </row>
    <row r="2" spans="1:8" ht="15.75" thickBot="1">
      <c r="A2" s="183"/>
      <c r="B2" s="184"/>
      <c r="C2" s="184"/>
      <c r="D2" s="185"/>
    </row>
    <row r="3" spans="1:8" ht="15.75" thickBot="1">
      <c r="A3" s="35" t="s">
        <v>117</v>
      </c>
      <c r="B3" s="36" t="s">
        <v>118</v>
      </c>
      <c r="C3" s="35" t="s">
        <v>25</v>
      </c>
      <c r="D3" s="35" t="s">
        <v>119</v>
      </c>
    </row>
    <row r="4" spans="1:8">
      <c r="A4" s="37"/>
      <c r="B4" s="38"/>
      <c r="C4" s="39"/>
      <c r="D4" s="40"/>
    </row>
    <row r="5" spans="1:8">
      <c r="A5" s="14" t="s">
        <v>120</v>
      </c>
      <c r="B5" s="41">
        <f>(85000000)*1.1</f>
        <v>93500000.000000015</v>
      </c>
      <c r="C5" s="42"/>
      <c r="D5" s="43" t="s">
        <v>121</v>
      </c>
    </row>
    <row r="6" spans="1:8">
      <c r="A6" s="14" t="s">
        <v>122</v>
      </c>
      <c r="B6" s="41"/>
      <c r="C6" s="42"/>
      <c r="D6" s="43"/>
    </row>
    <row r="7" spans="1:8" ht="57">
      <c r="A7" s="44" t="s">
        <v>123</v>
      </c>
      <c r="B7" s="41"/>
      <c r="C7" s="139" t="s">
        <v>124</v>
      </c>
      <c r="D7" s="43"/>
    </row>
    <row r="8" spans="1:8">
      <c r="A8" s="45" t="s">
        <v>125</v>
      </c>
      <c r="B8" s="41"/>
      <c r="C8" s="42"/>
      <c r="D8" s="43"/>
    </row>
    <row r="9" spans="1:8">
      <c r="A9" s="44"/>
      <c r="B9" s="41"/>
      <c r="C9" s="42"/>
      <c r="D9" s="43"/>
    </row>
    <row r="10" spans="1:8">
      <c r="A10" s="44" t="s">
        <v>126</v>
      </c>
      <c r="B10" s="41"/>
      <c r="C10" s="42"/>
      <c r="D10" s="43"/>
    </row>
    <row r="11" spans="1:8">
      <c r="A11" s="44" t="s">
        <v>127</v>
      </c>
      <c r="B11" s="41">
        <v>800800000</v>
      </c>
      <c r="C11" s="42"/>
      <c r="D11" s="43"/>
    </row>
    <row r="12" spans="1:8">
      <c r="A12" s="45" t="s">
        <v>128</v>
      </c>
      <c r="B12" s="41"/>
      <c r="C12" s="42"/>
      <c r="D12" s="43"/>
    </row>
    <row r="13" spans="1:8">
      <c r="A13" s="44"/>
      <c r="B13" s="41"/>
      <c r="C13" s="42"/>
      <c r="D13" s="43"/>
    </row>
    <row r="14" spans="1:8">
      <c r="A14" s="44" t="s">
        <v>129</v>
      </c>
      <c r="B14" s="41"/>
      <c r="C14" s="42"/>
      <c r="D14" s="43"/>
    </row>
    <row r="15" spans="1:8">
      <c r="A15" s="44" t="s">
        <v>130</v>
      </c>
      <c r="B15" s="41">
        <v>377000000</v>
      </c>
      <c r="C15" s="42"/>
      <c r="D15" s="43"/>
      <c r="F15" s="140"/>
    </row>
    <row r="16" spans="1:8">
      <c r="A16" s="45" t="s">
        <v>128</v>
      </c>
      <c r="B16" s="41"/>
      <c r="C16" s="42"/>
      <c r="D16" s="43"/>
      <c r="F16" s="141">
        <v>1271300000</v>
      </c>
      <c r="G16">
        <v>0.9</v>
      </c>
      <c r="H16" s="142">
        <f>F16*G16/100</f>
        <v>11441700</v>
      </c>
    </row>
    <row r="17" spans="1:8" ht="15.75" thickBot="1">
      <c r="A17" s="44"/>
      <c r="B17" s="41"/>
      <c r="C17" s="42"/>
      <c r="D17" s="43"/>
      <c r="F17" s="141">
        <v>300000000</v>
      </c>
      <c r="G17">
        <v>0.2</v>
      </c>
      <c r="H17" s="142">
        <f>F17*G17/100</f>
        <v>600000</v>
      </c>
    </row>
    <row r="18" spans="1:8" ht="15.75" thickBot="1">
      <c r="A18" s="35" t="s">
        <v>47</v>
      </c>
      <c r="B18" s="46">
        <f>SUM(B5:B17)</f>
        <v>1271300000</v>
      </c>
      <c r="C18" s="35" t="s">
        <v>131</v>
      </c>
      <c r="D18" s="47">
        <f>H16+H17</f>
        <v>12041700</v>
      </c>
      <c r="F18" s="140"/>
    </row>
    <row r="19" spans="1:8" ht="15.75" thickBot="1">
      <c r="A19" s="138" t="s">
        <v>132</v>
      </c>
      <c r="B19" s="48"/>
      <c r="C19" s="35" t="s">
        <v>4</v>
      </c>
      <c r="D19" s="47">
        <f>D18*19%</f>
        <v>2287923</v>
      </c>
    </row>
    <row r="20" spans="1:8" ht="15.75" thickBot="1">
      <c r="A20" s="49" t="s">
        <v>133</v>
      </c>
      <c r="B20" s="48"/>
      <c r="C20" s="35" t="s">
        <v>47</v>
      </c>
      <c r="D20" s="47">
        <f>D18+D19</f>
        <v>14329623</v>
      </c>
    </row>
    <row r="21" spans="1:8">
      <c r="A21" s="49"/>
      <c r="B21" s="48"/>
      <c r="C21" s="82"/>
      <c r="D21" s="153"/>
    </row>
    <row r="22" spans="1:8">
      <c r="A22" s="33" t="s">
        <v>134</v>
      </c>
      <c r="B22" s="33" t="s">
        <v>135</v>
      </c>
      <c r="C22" s="48"/>
      <c r="D22" s="48"/>
    </row>
    <row r="23" spans="1:8">
      <c r="A23" s="33" t="s">
        <v>110</v>
      </c>
      <c r="B23" s="33" t="s">
        <v>135</v>
      </c>
      <c r="C23" s="48"/>
      <c r="D23" s="48"/>
    </row>
    <row r="24" spans="1:8">
      <c r="A24" s="33" t="s">
        <v>136</v>
      </c>
      <c r="B24" s="33" t="s">
        <v>135</v>
      </c>
      <c r="C24" s="48"/>
      <c r="D24" s="48"/>
    </row>
    <row r="25" spans="1:8">
      <c r="A25" s="155" t="s">
        <v>137</v>
      </c>
      <c r="B25" s="154" t="s">
        <v>135</v>
      </c>
    </row>
    <row r="26" spans="1:8">
      <c r="A26" s="154" t="s">
        <v>138</v>
      </c>
      <c r="B26" s="155" t="s">
        <v>99</v>
      </c>
    </row>
  </sheetData>
  <mergeCells count="1">
    <mergeCell ref="A1:D2"/>
  </mergeCells>
  <pageMargins left="0.7" right="0.7" top="0.75" bottom="0.75" header="0.3" footer="0.3"/>
  <pageSetup scale="79" orientation="portrait" r:id="rId1"/>
  <colBreaks count="1" manualBreakCount="1">
    <brk id="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1D6E3-4239-495C-959C-0B0991DFB05F}">
  <dimension ref="A1:E43"/>
  <sheetViews>
    <sheetView tabSelected="1" view="pageBreakPreview" zoomScale="60" zoomScaleNormal="100" workbookViewId="0">
      <selection activeCell="F15" sqref="F15"/>
    </sheetView>
  </sheetViews>
  <sheetFormatPr defaultColWidth="11.42578125" defaultRowHeight="15"/>
  <cols>
    <col min="1" max="1" width="65.28515625" bestFit="1" customWidth="1"/>
    <col min="2" max="2" width="17.140625" customWidth="1"/>
    <col min="3" max="3" width="8.85546875" customWidth="1"/>
    <col min="4" max="4" width="23.140625" bestFit="1" customWidth="1"/>
  </cols>
  <sheetData>
    <row r="1" spans="1:5">
      <c r="A1" s="186" t="s">
        <v>139</v>
      </c>
      <c r="B1" s="187"/>
      <c r="C1" s="187"/>
      <c r="D1" s="187"/>
    </row>
    <row r="2" spans="1:5" ht="15.75" thickBot="1">
      <c r="A2" s="188"/>
      <c r="B2" s="188"/>
      <c r="C2" s="188"/>
      <c r="D2" s="188"/>
    </row>
    <row r="3" spans="1:5">
      <c r="A3" s="189" t="s">
        <v>140</v>
      </c>
      <c r="B3" s="191" t="s">
        <v>2</v>
      </c>
      <c r="C3" s="193" t="s">
        <v>25</v>
      </c>
      <c r="D3" s="178" t="s">
        <v>26</v>
      </c>
    </row>
    <row r="4" spans="1:5" ht="15.75" thickBot="1">
      <c r="A4" s="190"/>
      <c r="B4" s="192"/>
      <c r="C4" s="192"/>
      <c r="D4" s="192"/>
      <c r="E4" t="s">
        <v>141</v>
      </c>
    </row>
    <row r="5" spans="1:5">
      <c r="A5" s="50"/>
      <c r="B5" s="51"/>
      <c r="C5" s="51"/>
      <c r="D5" s="51"/>
    </row>
    <row r="6" spans="1:5">
      <c r="A6" s="52" t="s">
        <v>142</v>
      </c>
      <c r="B6" s="53"/>
      <c r="C6" s="143"/>
      <c r="D6" s="53"/>
    </row>
    <row r="7" spans="1:5">
      <c r="A7" s="52" t="s">
        <v>143</v>
      </c>
      <c r="B7" s="55">
        <v>11000000</v>
      </c>
      <c r="C7" s="143">
        <v>6.3636363636363633</v>
      </c>
      <c r="D7" s="56">
        <f>B7*C7/100</f>
        <v>700000</v>
      </c>
      <c r="E7">
        <v>245500</v>
      </c>
    </row>
    <row r="8" spans="1:5">
      <c r="A8" s="52" t="s">
        <v>144</v>
      </c>
      <c r="B8" s="55"/>
      <c r="C8" s="143"/>
      <c r="D8" s="56"/>
    </row>
    <row r="9" spans="1:5">
      <c r="A9" s="52"/>
      <c r="B9" s="55"/>
      <c r="C9" s="143"/>
      <c r="D9" s="56"/>
    </row>
    <row r="10" spans="1:5">
      <c r="A10" s="52" t="s">
        <v>145</v>
      </c>
      <c r="B10" s="58"/>
      <c r="C10" s="143"/>
      <c r="D10" s="56"/>
    </row>
    <row r="11" spans="1:5">
      <c r="A11" s="59" t="s">
        <v>146</v>
      </c>
      <c r="B11" s="55">
        <v>5500000</v>
      </c>
      <c r="C11" s="143">
        <v>18.18181818181818</v>
      </c>
      <c r="D11" s="56">
        <f t="shared" ref="D11:D34" si="0">B11*C11/100</f>
        <v>999999.99999999988</v>
      </c>
      <c r="E11">
        <v>245500</v>
      </c>
    </row>
    <row r="12" spans="1:5">
      <c r="A12" s="60" t="s">
        <v>147</v>
      </c>
      <c r="B12" s="55"/>
      <c r="C12" s="143"/>
      <c r="D12" s="56"/>
    </row>
    <row r="13" spans="1:5">
      <c r="A13" s="60"/>
      <c r="B13" s="55"/>
      <c r="C13" s="143"/>
      <c r="D13" s="56"/>
    </row>
    <row r="14" spans="1:5">
      <c r="A14" s="60" t="s">
        <v>148</v>
      </c>
      <c r="B14" s="55" t="s">
        <v>121</v>
      </c>
      <c r="C14" s="143"/>
      <c r="D14" s="56"/>
    </row>
    <row r="15" spans="1:5">
      <c r="A15" s="60" t="s">
        <v>149</v>
      </c>
      <c r="B15" s="55">
        <v>12900000</v>
      </c>
      <c r="C15" s="7">
        <v>5.4263565891472867</v>
      </c>
      <c r="D15" s="56">
        <f t="shared" si="0"/>
        <v>700000</v>
      </c>
      <c r="E15">
        <v>231500</v>
      </c>
    </row>
    <row r="16" spans="1:5">
      <c r="A16" s="60" t="s">
        <v>150</v>
      </c>
      <c r="B16" s="58"/>
      <c r="C16" s="7"/>
      <c r="D16" s="56"/>
    </row>
    <row r="17" spans="1:4">
      <c r="A17" s="52"/>
      <c r="B17" s="58"/>
      <c r="C17" s="143"/>
      <c r="D17" s="56"/>
    </row>
    <row r="18" spans="1:4">
      <c r="A18" s="61" t="s">
        <v>151</v>
      </c>
      <c r="B18" s="55"/>
      <c r="C18" s="143"/>
      <c r="D18" s="56"/>
    </row>
    <row r="19" spans="1:4">
      <c r="A19" s="61" t="s">
        <v>152</v>
      </c>
      <c r="B19" s="55">
        <v>12400000</v>
      </c>
      <c r="C19" s="143">
        <v>5.645161290322581</v>
      </c>
      <c r="D19" s="56">
        <f t="shared" si="0"/>
        <v>700000</v>
      </c>
    </row>
    <row r="20" spans="1:4">
      <c r="A20" s="61" t="s">
        <v>153</v>
      </c>
      <c r="B20" s="55"/>
      <c r="C20" s="143"/>
      <c r="D20" s="56"/>
    </row>
    <row r="21" spans="1:4">
      <c r="A21" s="61"/>
      <c r="B21" s="55"/>
      <c r="C21" s="143"/>
      <c r="D21" s="56"/>
    </row>
    <row r="22" spans="1:4">
      <c r="A22" s="61" t="s">
        <v>154</v>
      </c>
      <c r="B22" s="55"/>
      <c r="C22" s="143"/>
      <c r="D22" s="56"/>
    </row>
    <row r="23" spans="1:4">
      <c r="A23" s="52" t="s">
        <v>155</v>
      </c>
      <c r="B23" s="55">
        <v>213900000</v>
      </c>
      <c r="C23" s="143">
        <v>3</v>
      </c>
      <c r="D23" s="56">
        <f t="shared" si="0"/>
        <v>6417000</v>
      </c>
    </row>
    <row r="24" spans="1:4">
      <c r="A24" s="52" t="s">
        <v>156</v>
      </c>
      <c r="B24" s="55"/>
      <c r="C24" s="143"/>
      <c r="D24" s="56"/>
    </row>
    <row r="25" spans="1:4">
      <c r="A25" s="52"/>
      <c r="B25" s="55"/>
      <c r="C25" s="143"/>
      <c r="D25" s="56"/>
    </row>
    <row r="26" spans="1:4">
      <c r="A26" s="52" t="s">
        <v>157</v>
      </c>
      <c r="B26" s="55"/>
      <c r="C26" s="143"/>
      <c r="D26" s="56"/>
    </row>
    <row r="27" spans="1:4">
      <c r="A27" s="52" t="s">
        <v>158</v>
      </c>
      <c r="B27" s="55">
        <v>66500000</v>
      </c>
      <c r="C27" s="143">
        <v>3</v>
      </c>
      <c r="D27" s="56">
        <f t="shared" si="0"/>
        <v>1995000</v>
      </c>
    </row>
    <row r="28" spans="1:4">
      <c r="A28" s="52" t="s">
        <v>159</v>
      </c>
      <c r="B28" s="55"/>
      <c r="C28" s="143"/>
      <c r="D28" s="56"/>
    </row>
    <row r="29" spans="1:4">
      <c r="A29" s="52"/>
      <c r="B29" s="55"/>
      <c r="C29" s="143"/>
      <c r="D29" s="56"/>
    </row>
    <row r="30" spans="1:4">
      <c r="A30" s="52" t="s">
        <v>160</v>
      </c>
      <c r="B30" s="55">
        <v>19900000</v>
      </c>
      <c r="C30" s="143">
        <v>3.5175879396984926</v>
      </c>
      <c r="D30" s="56">
        <f t="shared" si="0"/>
        <v>700000</v>
      </c>
    </row>
    <row r="31" spans="1:4">
      <c r="A31" s="52" t="s">
        <v>161</v>
      </c>
      <c r="B31" s="55"/>
      <c r="C31" s="143"/>
      <c r="D31" s="56"/>
    </row>
    <row r="32" spans="1:4">
      <c r="A32" s="52" t="s">
        <v>162</v>
      </c>
      <c r="B32" s="55"/>
      <c r="C32" s="143"/>
      <c r="D32" s="56"/>
    </row>
    <row r="33" spans="1:4">
      <c r="A33" s="52"/>
      <c r="B33" s="55"/>
      <c r="C33" s="143"/>
      <c r="D33" s="56"/>
    </row>
    <row r="34" spans="1:4">
      <c r="A34" s="52" t="s">
        <v>163</v>
      </c>
      <c r="B34" s="55">
        <v>8900000</v>
      </c>
      <c r="C34" s="143">
        <v>5</v>
      </c>
      <c r="D34" s="56">
        <f t="shared" si="0"/>
        <v>445000</v>
      </c>
    </row>
    <row r="35" spans="1:4">
      <c r="A35" s="52" t="s">
        <v>164</v>
      </c>
      <c r="B35" s="53"/>
      <c r="C35" s="143"/>
      <c r="D35" s="57"/>
    </row>
    <row r="36" spans="1:4">
      <c r="A36" s="52" t="s">
        <v>165</v>
      </c>
      <c r="B36" s="53"/>
      <c r="C36" s="143"/>
      <c r="D36" s="57"/>
    </row>
    <row r="37" spans="1:4" ht="15.75" thickBot="1">
      <c r="A37" s="62" t="s">
        <v>166</v>
      </c>
      <c r="B37" s="53"/>
      <c r="C37" s="54"/>
      <c r="D37" s="56">
        <v>1715000</v>
      </c>
    </row>
    <row r="38" spans="1:4" ht="15.75" thickBot="1">
      <c r="A38" s="63" t="s">
        <v>90</v>
      </c>
      <c r="B38" s="64">
        <f>SUM(B6:B37)</f>
        <v>351000000</v>
      </c>
      <c r="C38" s="65" t="s">
        <v>121</v>
      </c>
      <c r="D38" s="144">
        <f>SUM(D5:D37)</f>
        <v>14372000</v>
      </c>
    </row>
    <row r="39" spans="1:4" ht="15.75" thickBot="1">
      <c r="A39" s="60" t="s">
        <v>121</v>
      </c>
      <c r="B39" s="67"/>
      <c r="C39" s="160" t="s">
        <v>4</v>
      </c>
      <c r="D39" s="146">
        <f>D38*19%</f>
        <v>2730680</v>
      </c>
    </row>
    <row r="40" spans="1:4" ht="15.75" thickBot="1">
      <c r="A40" s="68" t="s">
        <v>167</v>
      </c>
      <c r="B40" s="67"/>
      <c r="C40" s="69" t="s">
        <v>168</v>
      </c>
      <c r="D40" s="145">
        <f>D38+D39</f>
        <v>17102680</v>
      </c>
    </row>
    <row r="41" spans="1:4">
      <c r="A41" s="60" t="s">
        <v>121</v>
      </c>
      <c r="B41" s="67"/>
      <c r="C41" s="70"/>
      <c r="D41" s="67"/>
    </row>
    <row r="43" spans="1:4">
      <c r="B43" s="71"/>
    </row>
  </sheetData>
  <mergeCells count="5">
    <mergeCell ref="A1:D2"/>
    <mergeCell ref="A3:A4"/>
    <mergeCell ref="B3:B4"/>
    <mergeCell ref="C3:C4"/>
    <mergeCell ref="D3:D4"/>
  </mergeCells>
  <pageMargins left="0.7" right="0.7" top="0.75" bottom="0.75" header="0.3" footer="0.3"/>
  <pageSetup scale="7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2335E-99FB-4349-80C9-E160F4CE6919}">
  <dimension ref="A1:C13"/>
  <sheetViews>
    <sheetView view="pageBreakPreview" zoomScale="60" zoomScaleNormal="100" workbookViewId="0">
      <selection activeCell="A7" sqref="A7"/>
    </sheetView>
  </sheetViews>
  <sheetFormatPr defaultColWidth="11.42578125" defaultRowHeight="15"/>
  <cols>
    <col min="1" max="1" width="73.140625" customWidth="1"/>
    <col min="2" max="2" width="5.85546875" customWidth="1"/>
    <col min="3" max="3" width="17.7109375" bestFit="1" customWidth="1"/>
  </cols>
  <sheetData>
    <row r="1" spans="1:3">
      <c r="A1" s="186" t="s">
        <v>169</v>
      </c>
      <c r="B1" s="187"/>
      <c r="C1" s="187"/>
    </row>
    <row r="2" spans="1:3" ht="15.75" thickBot="1">
      <c r="A2" s="188"/>
      <c r="B2" s="188"/>
      <c r="C2" s="188"/>
    </row>
    <row r="3" spans="1:3" ht="15.75" thickBot="1">
      <c r="A3" s="60"/>
      <c r="B3" s="70"/>
      <c r="C3" s="67"/>
    </row>
    <row r="4" spans="1:3">
      <c r="A4" s="189" t="s">
        <v>140</v>
      </c>
      <c r="B4" s="193" t="s">
        <v>121</v>
      </c>
      <c r="C4" s="178" t="s">
        <v>26</v>
      </c>
    </row>
    <row r="5" spans="1:3" ht="15.75" thickBot="1">
      <c r="A5" s="190"/>
      <c r="B5" s="192"/>
      <c r="C5" s="192"/>
    </row>
    <row r="6" spans="1:3">
      <c r="A6" s="72"/>
      <c r="B6" s="54"/>
      <c r="C6" s="53"/>
    </row>
    <row r="7" spans="1:3">
      <c r="A7" s="52" t="s">
        <v>170</v>
      </c>
      <c r="B7" s="54"/>
      <c r="C7" s="73">
        <v>780400</v>
      </c>
    </row>
    <row r="8" spans="1:3">
      <c r="A8" s="52" t="s">
        <v>171</v>
      </c>
      <c r="B8" s="74"/>
      <c r="C8" s="57"/>
    </row>
    <row r="9" spans="1:3">
      <c r="A9" s="59" t="s">
        <v>172</v>
      </c>
      <c r="B9" s="74"/>
      <c r="C9" s="57"/>
    </row>
    <row r="10" spans="1:3">
      <c r="A10" s="59"/>
      <c r="B10" s="74"/>
      <c r="C10" s="57"/>
    </row>
    <row r="11" spans="1:3">
      <c r="A11" s="59"/>
      <c r="B11" s="74"/>
      <c r="C11" s="57"/>
    </row>
    <row r="12" spans="1:3" ht="15.75" thickBot="1">
      <c r="A12" s="75" t="s">
        <v>173</v>
      </c>
      <c r="B12" s="54"/>
      <c r="C12" s="57"/>
    </row>
    <row r="13" spans="1:3" ht="15.75" thickBot="1">
      <c r="A13" s="63" t="s">
        <v>90</v>
      </c>
      <c r="B13" s="65"/>
      <c r="C13" s="66">
        <f>SUM(C7:C11)</f>
        <v>780400</v>
      </c>
    </row>
  </sheetData>
  <mergeCells count="4">
    <mergeCell ref="A1:C2"/>
    <mergeCell ref="A4:A5"/>
    <mergeCell ref="B4:B5"/>
    <mergeCell ref="C4:C5"/>
  </mergeCells>
  <pageMargins left="0.7" right="0.7" top="0.75" bottom="0.75" header="0.3" footer="0.3"/>
  <pageSetup scale="9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30E44-2BBD-4EBE-9176-23CC33905386}">
  <dimension ref="A1:D12"/>
  <sheetViews>
    <sheetView view="pageBreakPreview" topLeftCell="A4" zoomScale="60" zoomScaleNormal="100" workbookViewId="0">
      <selection activeCell="D14" sqref="D14"/>
    </sheetView>
  </sheetViews>
  <sheetFormatPr defaultColWidth="11.42578125" defaultRowHeight="15"/>
  <cols>
    <col min="1" max="1" width="54.28515625" customWidth="1"/>
    <col min="2" max="2" width="22.28515625" customWidth="1"/>
    <col min="3" max="3" width="22.85546875" customWidth="1"/>
    <col min="4" max="4" width="24.42578125" customWidth="1"/>
  </cols>
  <sheetData>
    <row r="1" spans="1:4" ht="18.75" thickBot="1">
      <c r="A1" s="194" t="s">
        <v>174</v>
      </c>
      <c r="B1" s="194"/>
      <c r="C1" s="194"/>
      <c r="D1" s="194"/>
    </row>
    <row r="2" spans="1:4" ht="15.75" thickBot="1">
      <c r="A2" s="35" t="s">
        <v>175</v>
      </c>
      <c r="B2" s="36" t="s">
        <v>118</v>
      </c>
      <c r="C2" s="36" t="s">
        <v>25</v>
      </c>
      <c r="D2" s="36" t="s">
        <v>119</v>
      </c>
    </row>
    <row r="3" spans="1:4" ht="243" thickBot="1">
      <c r="A3" s="76" t="s">
        <v>176</v>
      </c>
      <c r="B3" s="77">
        <v>300000000</v>
      </c>
      <c r="C3" s="78">
        <v>3.5</v>
      </c>
      <c r="D3" s="79">
        <f>B3*C3/100</f>
        <v>10500000</v>
      </c>
    </row>
    <row r="4" spans="1:4" ht="15.75" thickBot="1">
      <c r="A4" s="80" t="s">
        <v>177</v>
      </c>
      <c r="B4" s="77"/>
      <c r="C4" s="78"/>
      <c r="D4" s="79"/>
    </row>
    <row r="5" spans="1:4" ht="19.5" thickBot="1">
      <c r="A5" s="35" t="s">
        <v>178</v>
      </c>
      <c r="B5" s="81">
        <f>+B3</f>
        <v>300000000</v>
      </c>
      <c r="C5" s="36"/>
      <c r="D5" s="47"/>
    </row>
    <row r="6" spans="1:4" ht="15.75" thickBot="1">
      <c r="A6" s="82"/>
      <c r="B6" s="83"/>
      <c r="C6" s="36" t="s">
        <v>179</v>
      </c>
      <c r="D6" s="47">
        <f>D3</f>
        <v>10500000</v>
      </c>
    </row>
    <row r="7" spans="1:4" ht="15.75" thickBot="1">
      <c r="A7" s="48" t="s">
        <v>121</v>
      </c>
      <c r="B7" s="48"/>
      <c r="C7" s="36" t="s">
        <v>4</v>
      </c>
      <c r="D7" s="47">
        <f>D6*19%</f>
        <v>1995000</v>
      </c>
    </row>
    <row r="8" spans="1:4" ht="15.75" thickBot="1">
      <c r="A8" s="49" t="s">
        <v>133</v>
      </c>
      <c r="B8" s="48"/>
      <c r="C8" s="36" t="s">
        <v>92</v>
      </c>
      <c r="D8" s="47">
        <f>D6+D7</f>
        <v>12495000</v>
      </c>
    </row>
    <row r="9" spans="1:4">
      <c r="A9" s="48"/>
      <c r="B9" s="48"/>
      <c r="C9" s="48"/>
      <c r="D9" s="48"/>
    </row>
    <row r="10" spans="1:4">
      <c r="A10" s="48" t="s">
        <v>180</v>
      </c>
      <c r="B10" s="48" t="s">
        <v>181</v>
      </c>
      <c r="C10" s="48"/>
      <c r="D10" s="48"/>
    </row>
    <row r="11" spans="1:4">
      <c r="A11" s="156" t="s">
        <v>182</v>
      </c>
      <c r="B11" s="156" t="s">
        <v>181</v>
      </c>
    </row>
    <row r="12" spans="1:4">
      <c r="A12" s="156" t="s">
        <v>183</v>
      </c>
      <c r="B12" s="156" t="s">
        <v>184</v>
      </c>
    </row>
  </sheetData>
  <mergeCells count="1">
    <mergeCell ref="A1:D1"/>
  </mergeCells>
  <pageMargins left="0.7" right="0.7" top="0.75" bottom="0.75" header="0.3" footer="0.3"/>
  <pageSetup scale="7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92F09-7940-482A-AC1D-C2DD2D0E9926}">
  <dimension ref="A1:D13"/>
  <sheetViews>
    <sheetView view="pageBreakPreview" zoomScale="60" zoomScaleNormal="100" workbookViewId="0">
      <selection activeCell="C9" sqref="C9:D12"/>
    </sheetView>
  </sheetViews>
  <sheetFormatPr defaultColWidth="11.42578125" defaultRowHeight="15"/>
  <cols>
    <col min="1" max="1" width="89.28515625" bestFit="1" customWidth="1"/>
    <col min="2" max="2" width="23.28515625" customWidth="1"/>
    <col min="3" max="4" width="22.140625" customWidth="1"/>
  </cols>
  <sheetData>
    <row r="1" spans="1:4">
      <c r="A1" s="186" t="s">
        <v>185</v>
      </c>
      <c r="B1" s="195"/>
      <c r="C1" s="195"/>
      <c r="D1" s="195"/>
    </row>
    <row r="2" spans="1:4" ht="15.75" thickBot="1">
      <c r="A2" s="196"/>
      <c r="B2" s="196"/>
      <c r="C2" s="196"/>
      <c r="D2" s="196"/>
    </row>
    <row r="3" spans="1:4" ht="15.75" thickBot="1">
      <c r="A3" s="35" t="s">
        <v>175</v>
      </c>
      <c r="B3" s="36" t="s">
        <v>118</v>
      </c>
      <c r="C3" s="36" t="s">
        <v>25</v>
      </c>
      <c r="D3" s="35" t="s">
        <v>119</v>
      </c>
    </row>
    <row r="4" spans="1:4" ht="18">
      <c r="A4" s="84" t="s">
        <v>186</v>
      </c>
      <c r="B4" s="85"/>
      <c r="C4" s="85"/>
      <c r="D4" s="86"/>
    </row>
    <row r="5" spans="1:4" ht="99.75">
      <c r="A5" s="87" t="s">
        <v>187</v>
      </c>
      <c r="B5" s="85">
        <v>750000000</v>
      </c>
      <c r="C5" s="88">
        <v>0.2</v>
      </c>
      <c r="D5" s="89">
        <f>B5*C5/100</f>
        <v>1500000</v>
      </c>
    </row>
    <row r="6" spans="1:4">
      <c r="A6" s="90"/>
      <c r="B6" s="85"/>
      <c r="C6" s="85"/>
      <c r="D6" s="89"/>
    </row>
    <row r="7" spans="1:4" ht="15.75" thickBot="1">
      <c r="A7" s="90"/>
      <c r="B7" s="85"/>
      <c r="C7" s="85"/>
      <c r="D7" s="89"/>
    </row>
    <row r="8" spans="1:4" ht="15.75" thickBot="1">
      <c r="A8" s="35" t="s">
        <v>188</v>
      </c>
      <c r="B8" s="36">
        <f>+B5</f>
        <v>750000000</v>
      </c>
      <c r="C8" s="36"/>
      <c r="D8" s="47"/>
    </row>
    <row r="9" spans="1:4" ht="15.75" thickBot="1">
      <c r="A9" s="48"/>
      <c r="B9" s="91" t="s">
        <v>121</v>
      </c>
      <c r="C9" s="35" t="s">
        <v>179</v>
      </c>
      <c r="D9" s="47">
        <f>D5</f>
        <v>1500000</v>
      </c>
    </row>
    <row r="10" spans="1:4" ht="15.75" thickBot="1">
      <c r="A10" s="49" t="s">
        <v>133</v>
      </c>
      <c r="B10" s="92" t="s">
        <v>121</v>
      </c>
      <c r="C10" s="35" t="s">
        <v>4</v>
      </c>
      <c r="D10" s="47">
        <f>D9*19%</f>
        <v>285000</v>
      </c>
    </row>
    <row r="11" spans="1:4" ht="15.75" thickBot="1">
      <c r="A11" s="197" t="s">
        <v>189</v>
      </c>
      <c r="B11" s="198"/>
      <c r="C11" s="35" t="s">
        <v>92</v>
      </c>
      <c r="D11" s="47">
        <f>D9+D10</f>
        <v>1785000</v>
      </c>
    </row>
    <row r="12" spans="1:4">
      <c r="A12" s="199" t="s">
        <v>190</v>
      </c>
      <c r="B12" s="199"/>
      <c r="C12" s="49"/>
      <c r="D12" s="49"/>
    </row>
    <row r="13" spans="1:4">
      <c r="A13" s="197" t="s">
        <v>191</v>
      </c>
      <c r="B13" s="197"/>
    </row>
  </sheetData>
  <mergeCells count="4">
    <mergeCell ref="A1:D2"/>
    <mergeCell ref="A11:B11"/>
    <mergeCell ref="A12:B12"/>
    <mergeCell ref="A13:B13"/>
  </mergeCells>
  <pageMargins left="0.7" right="0.7" top="0.75" bottom="0.75" header="0.3" footer="0.3"/>
  <pageSetup scale="5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7078EF-ACB0-43BB-94DC-3C2E8EE2B8ED}">
  <dimension ref="A1:D18"/>
  <sheetViews>
    <sheetView view="pageBreakPreview" topLeftCell="A7" zoomScale="60" zoomScaleNormal="100" workbookViewId="0">
      <selection activeCell="B25" sqref="B25"/>
    </sheetView>
  </sheetViews>
  <sheetFormatPr defaultColWidth="11.42578125" defaultRowHeight="15"/>
  <cols>
    <col min="1" max="1" width="76.7109375" customWidth="1"/>
    <col min="2" max="2" width="21.42578125" customWidth="1"/>
    <col min="3" max="3" width="19.42578125" customWidth="1"/>
    <col min="4" max="4" width="23.7109375" customWidth="1"/>
  </cols>
  <sheetData>
    <row r="1" spans="1:4">
      <c r="A1" s="186" t="s">
        <v>185</v>
      </c>
      <c r="B1" s="195"/>
      <c r="C1" s="195"/>
      <c r="D1" s="195"/>
    </row>
    <row r="2" spans="1:4">
      <c r="A2" s="195"/>
      <c r="B2" s="195"/>
      <c r="C2" s="195"/>
      <c r="D2" s="195"/>
    </row>
    <row r="3" spans="1:4">
      <c r="A3" s="186" t="s">
        <v>192</v>
      </c>
      <c r="B3" s="195"/>
      <c r="C3" s="195"/>
      <c r="D3" s="195"/>
    </row>
    <row r="4" spans="1:4" ht="15.75" thickBot="1">
      <c r="A4" s="195"/>
      <c r="B4" s="195"/>
      <c r="C4" s="195"/>
      <c r="D4" s="195"/>
    </row>
    <row r="5" spans="1:4" ht="15.75" thickBot="1">
      <c r="A5" s="35" t="s">
        <v>175</v>
      </c>
      <c r="B5" s="36" t="s">
        <v>118</v>
      </c>
      <c r="C5" s="36" t="s">
        <v>25</v>
      </c>
      <c r="D5" s="35" t="s">
        <v>119</v>
      </c>
    </row>
    <row r="6" spans="1:4" ht="18">
      <c r="A6" s="84" t="s">
        <v>186</v>
      </c>
      <c r="B6" s="85"/>
      <c r="C6" s="85"/>
      <c r="D6" s="86"/>
    </row>
    <row r="7" spans="1:4">
      <c r="A7" s="165"/>
      <c r="B7" s="93"/>
      <c r="C7" s="93"/>
      <c r="D7" s="94"/>
    </row>
    <row r="8" spans="1:4" ht="128.25">
      <c r="A8" s="166" t="s">
        <v>193</v>
      </c>
      <c r="B8" s="95">
        <v>500000000</v>
      </c>
      <c r="C8" s="147">
        <v>10</v>
      </c>
      <c r="D8" s="148">
        <f>B8*C8/100</f>
        <v>50000000</v>
      </c>
    </row>
    <row r="9" spans="1:4">
      <c r="A9" s="165"/>
      <c r="B9" s="93"/>
      <c r="C9" s="93"/>
      <c r="D9" s="94"/>
    </row>
    <row r="10" spans="1:4">
      <c r="A10" s="96" t="s">
        <v>194</v>
      </c>
      <c r="B10" s="93"/>
      <c r="C10" s="93"/>
      <c r="D10" s="94"/>
    </row>
    <row r="11" spans="1:4">
      <c r="A11" s="167" t="s">
        <v>195</v>
      </c>
      <c r="B11" s="97" t="s">
        <v>121</v>
      </c>
      <c r="C11" s="97"/>
      <c r="D11" s="94"/>
    </row>
    <row r="12" spans="1:4">
      <c r="A12" s="98" t="s">
        <v>196</v>
      </c>
      <c r="B12" s="97"/>
      <c r="C12" s="97"/>
      <c r="D12" s="94"/>
    </row>
    <row r="13" spans="1:4" ht="15.75" thickBot="1">
      <c r="A13" s="99" t="s">
        <v>197</v>
      </c>
      <c r="B13" s="97"/>
      <c r="C13" s="97"/>
      <c r="D13" s="94"/>
    </row>
    <row r="14" spans="1:4" ht="15.75" thickBot="1">
      <c r="A14" s="100"/>
      <c r="B14" s="36">
        <f>SUM(B7:B13)</f>
        <v>500000000</v>
      </c>
      <c r="C14" s="36" t="s">
        <v>179</v>
      </c>
      <c r="D14" s="47">
        <f>D8</f>
        <v>50000000</v>
      </c>
    </row>
    <row r="15" spans="1:4" ht="15.75" thickBot="1">
      <c r="A15" s="48"/>
      <c r="B15" s="101" t="s">
        <v>121</v>
      </c>
      <c r="C15" s="36" t="s">
        <v>4</v>
      </c>
      <c r="D15" s="47">
        <f>D14*19%</f>
        <v>9500000</v>
      </c>
    </row>
    <row r="16" spans="1:4" ht="15.75" thickBot="1">
      <c r="A16" s="82" t="s">
        <v>133</v>
      </c>
      <c r="B16" s="102" t="s">
        <v>121</v>
      </c>
      <c r="C16" s="36" t="s">
        <v>92</v>
      </c>
      <c r="D16" s="47">
        <f>D14+D15</f>
        <v>59500000</v>
      </c>
    </row>
    <row r="17" spans="1:4">
      <c r="A17" s="49" t="s">
        <v>198</v>
      </c>
      <c r="B17" s="48"/>
      <c r="C17" s="48"/>
      <c r="D17" s="48"/>
    </row>
    <row r="18" spans="1:4">
      <c r="A18" s="48"/>
      <c r="B18" s="48"/>
      <c r="C18" s="48"/>
      <c r="D18" s="48"/>
    </row>
  </sheetData>
  <mergeCells count="2">
    <mergeCell ref="A1:D2"/>
    <mergeCell ref="A3:D4"/>
  </mergeCells>
  <pageMargins left="0.7" right="0.7" top="0.75" bottom="0.75" header="0.3" footer="0.3"/>
  <pageSetup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9163A-48E7-4804-845D-BD8DD55B1FDA}">
  <dimension ref="A1:G18"/>
  <sheetViews>
    <sheetView view="pageBreakPreview" zoomScale="60" zoomScaleNormal="100" workbookViewId="0">
      <selection activeCell="E14" sqref="E14"/>
    </sheetView>
  </sheetViews>
  <sheetFormatPr defaultColWidth="11.42578125" defaultRowHeight="15"/>
  <cols>
    <col min="1" max="1" width="62.42578125" customWidth="1"/>
    <col min="2" max="2" width="24.7109375" bestFit="1" customWidth="1"/>
    <col min="3" max="3" width="0" hidden="1" customWidth="1"/>
    <col min="4" max="4" width="12" customWidth="1"/>
    <col min="5" max="5" width="17.85546875" customWidth="1"/>
    <col min="7" max="7" width="15" bestFit="1" customWidth="1"/>
  </cols>
  <sheetData>
    <row r="1" spans="1:7" ht="20.25" thickBot="1">
      <c r="A1" s="200" t="s">
        <v>199</v>
      </c>
      <c r="B1" s="200"/>
      <c r="C1" s="200"/>
      <c r="D1" s="200"/>
      <c r="E1" s="200"/>
    </row>
    <row r="2" spans="1:7" ht="29.25" thickBot="1">
      <c r="A2" s="103" t="s">
        <v>175</v>
      </c>
      <c r="B2" s="103" t="s">
        <v>200</v>
      </c>
      <c r="C2" s="103" t="s">
        <v>201</v>
      </c>
      <c r="D2" s="103" t="s">
        <v>25</v>
      </c>
      <c r="E2" s="103" t="s">
        <v>119</v>
      </c>
    </row>
    <row r="3" spans="1:7" ht="29.25">
      <c r="A3" s="104" t="s">
        <v>202</v>
      </c>
      <c r="B3" s="105" t="s">
        <v>121</v>
      </c>
      <c r="C3" s="106"/>
      <c r="D3" s="161"/>
      <c r="E3" s="162" t="s">
        <v>121</v>
      </c>
    </row>
    <row r="4" spans="1:7">
      <c r="A4" s="107" t="s">
        <v>203</v>
      </c>
      <c r="B4" s="108"/>
      <c r="C4" s="109"/>
      <c r="D4" s="163">
        <v>6.6</v>
      </c>
      <c r="E4" s="164">
        <f>G5*D4/1000</f>
        <v>8658280.6199999992</v>
      </c>
    </row>
    <row r="5" spans="1:7" ht="15.75" thickBot="1">
      <c r="A5" s="110" t="s">
        <v>204</v>
      </c>
      <c r="B5" s="108"/>
      <c r="C5" s="109"/>
      <c r="D5" s="164"/>
      <c r="E5" s="164"/>
      <c r="G5" s="128">
        <f>B6*15</f>
        <v>1311860700</v>
      </c>
    </row>
    <row r="6" spans="1:7" ht="15.75" thickBot="1">
      <c r="A6" s="111" t="s">
        <v>205</v>
      </c>
      <c r="B6" s="112">
        <f>4372869*20</f>
        <v>87457380</v>
      </c>
      <c r="C6" s="113"/>
      <c r="D6" s="113"/>
      <c r="E6" s="114"/>
    </row>
    <row r="7" spans="1:7" ht="15.75" thickBot="1">
      <c r="A7" s="115" t="s">
        <v>206</v>
      </c>
      <c r="B7" s="112">
        <f>4372869*20</f>
        <v>87457380</v>
      </c>
      <c r="C7" s="116"/>
      <c r="D7" s="116"/>
      <c r="E7" s="117"/>
    </row>
    <row r="8" spans="1:7" ht="15.75" thickBot="1">
      <c r="A8" s="118" t="s">
        <v>207</v>
      </c>
      <c r="B8" s="112">
        <f>4372869*20</f>
        <v>87457380</v>
      </c>
      <c r="C8" s="116"/>
      <c r="D8" s="116"/>
      <c r="E8" s="117"/>
    </row>
    <row r="9" spans="1:7" ht="15.75" thickBot="1">
      <c r="A9" s="35" t="s">
        <v>208</v>
      </c>
      <c r="B9" s="119"/>
      <c r="C9" s="116"/>
      <c r="D9" s="116"/>
      <c r="E9" s="117"/>
    </row>
    <row r="10" spans="1:7">
      <c r="A10" s="82"/>
      <c r="B10" s="120"/>
      <c r="C10" s="121"/>
      <c r="D10" s="121"/>
      <c r="E10" s="122"/>
    </row>
    <row r="11" spans="1:7" ht="30">
      <c r="A11" s="123" t="s">
        <v>209</v>
      </c>
      <c r="B11" s="120"/>
      <c r="C11" s="121"/>
      <c r="D11" s="121"/>
      <c r="E11" s="122"/>
    </row>
    <row r="12" spans="1:7" ht="30">
      <c r="A12" s="123" t="s">
        <v>210</v>
      </c>
      <c r="B12" s="120"/>
      <c r="C12" s="121"/>
      <c r="D12" s="121"/>
      <c r="E12" s="122"/>
    </row>
    <row r="13" spans="1:7" ht="45">
      <c r="A13" s="123" t="s">
        <v>211</v>
      </c>
      <c r="B13" s="120"/>
      <c r="C13" s="121"/>
      <c r="D13" s="121"/>
      <c r="E13" s="122"/>
    </row>
    <row r="14" spans="1:7">
      <c r="A14" s="123" t="s">
        <v>212</v>
      </c>
      <c r="B14" s="120"/>
      <c r="C14" s="121"/>
      <c r="D14" s="121"/>
      <c r="E14" s="122"/>
    </row>
    <row r="15" spans="1:7" ht="15.75">
      <c r="A15" s="124" t="s">
        <v>213</v>
      </c>
      <c r="B15" s="120"/>
      <c r="C15" s="121"/>
      <c r="D15" s="121"/>
      <c r="E15" s="122"/>
    </row>
    <row r="16" spans="1:7">
      <c r="A16" s="82" t="s">
        <v>133</v>
      </c>
      <c r="B16" s="120"/>
      <c r="C16" s="121"/>
      <c r="D16" s="121"/>
      <c r="E16" s="122"/>
    </row>
    <row r="17" spans="1:5">
      <c r="A17" s="82" t="s">
        <v>198</v>
      </c>
      <c r="B17" s="120"/>
      <c r="C17" s="121"/>
      <c r="D17" s="121"/>
      <c r="E17" s="122"/>
    </row>
    <row r="18" spans="1:5">
      <c r="A18" s="82"/>
      <c r="B18" s="120"/>
      <c r="C18" s="121"/>
      <c r="D18" s="121"/>
      <c r="E18" s="122"/>
    </row>
  </sheetData>
  <mergeCells count="1">
    <mergeCell ref="A1:E1"/>
  </mergeCells>
  <pageMargins left="0.7" right="0.7" top="0.75" bottom="0.75" header="0.3" footer="0.3"/>
  <pageSetup scale="70" orientation="portrait" r:id="rId1"/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g xmlns="c66a4efd-5a03-4822-8285-9c35a2623890" xsi:nil="true"/>
    <TaxCatchAll xmlns="6e5b4c04-351a-450d-a531-8b8f9efe7a5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A343761CD832E4CA8FC51C5E96B991C" ma:contentTypeVersion="19" ma:contentTypeDescription="Crear nuevo documento." ma:contentTypeScope="" ma:versionID="aa64300c98d737a861446eb5247b4c0a">
  <xsd:schema xmlns:xsd="http://www.w3.org/2001/XMLSchema" xmlns:xs="http://www.w3.org/2001/XMLSchema" xmlns:p="http://schemas.microsoft.com/office/2006/metadata/properties" xmlns:ns2="c66a4efd-5a03-4822-8285-9c35a2623890" xmlns:ns3="6e5b4c04-351a-450d-a531-8b8f9efe7a5e" targetNamespace="http://schemas.microsoft.com/office/2006/metadata/properties" ma:root="true" ma:fieldsID="14ca16eb22337b31ea79585e922b566a" ns2:_="" ns3:_="">
    <xsd:import namespace="c66a4efd-5a03-4822-8285-9c35a2623890"/>
    <xsd:import namespace="6e5b4c04-351a-450d-a531-8b8f9efe7a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Tag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6a4efd-5a03-4822-8285-9c35a26238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Tag" ma:index="17" nillable="true" ma:displayName="Tag" ma:internalName="Tag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5b4c04-351a-450d-a531-8b8f9efe7a5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Columna global de taxonomía" ma:hidden="true" ma:list="{91cf5f76-addd-4ce2-af2b-2061325da43e}" ma:internalName="TaxCatchAll" ma:showField="CatchAllData" ma:web="6e5b4c04-351a-450d-a531-8b8f9efe7a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1D4F13-0CF9-41A9-BB5C-5F90589E2855}"/>
</file>

<file path=customXml/itemProps2.xml><?xml version="1.0" encoding="utf-8"?>
<ds:datastoreItem xmlns:ds="http://schemas.openxmlformats.org/officeDocument/2006/customXml" ds:itemID="{626CB603-EFA6-4D4F-8EB3-9B949EAC3A98}"/>
</file>

<file path=customXml/itemProps3.xml><?xml version="1.0" encoding="utf-8"?>
<ds:datastoreItem xmlns:ds="http://schemas.openxmlformats.org/officeDocument/2006/customXml" ds:itemID="{9B77151F-5370-42BA-9240-E3E90112A9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INMER RAMIREZ JIMENEZ</dc:creator>
  <cp:keywords/>
  <dc:description/>
  <cp:lastModifiedBy>VIVIANA RIOS GOMEZ</cp:lastModifiedBy>
  <cp:revision/>
  <dcterms:created xsi:type="dcterms:W3CDTF">2022-02-28T01:42:27Z</dcterms:created>
  <dcterms:modified xsi:type="dcterms:W3CDTF">2022-03-23T19:28:41Z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0x0101005A343761CD832E4CA8FC51C5E96B991C</vt:lpwstr>
  </property>
</Properties>
</file>