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DATOS\DENUNCIA SALAMINA\SECOP I\"/>
    </mc:Choice>
  </mc:AlternateContent>
  <bookViews>
    <workbookView xWindow="0" yWindow="0" windowWidth="15360" windowHeight="8445"/>
  </bookViews>
  <sheets>
    <sheet name="Hoja1 (5)" sheetId="10" r:id="rId1"/>
    <sheet name="PRESUPUESTO RESUMEN" sheetId="1" r:id="rId2"/>
    <sheet name="AIU" sheetId="7" r:id="rId3"/>
    <sheet name="INTERVENTORIA" sheetId="8" r:id="rId4"/>
    <sheet name="APU FORMATO" sheetId="3" r:id="rId5"/>
    <sheet name="LISTADO DE MATERIALES" sheetId="4" r:id="rId6"/>
    <sheet name="CANTIDADES" sheetId="5" r:id="rId7"/>
    <sheet name="CRONOGRAMA" sheetId="9" r:id="rId8"/>
  </sheets>
  <definedNames>
    <definedName name="_xlnm._FilterDatabase" localSheetId="1" hidden="1">'PRESUPUESTO RESUMEN'!$P$5:$U$163</definedName>
    <definedName name="_xlnm.Print_Area" localSheetId="2">AIU!$A$1:$H$37</definedName>
    <definedName name="_xlnm.Print_Area" localSheetId="4">'APU FORMATO'!$A$1:$F$2097</definedName>
    <definedName name="_xlnm.Print_Area" localSheetId="3">INTERVENTORIA!$A$1:$H$41</definedName>
    <definedName name="_xlnm.Print_Area" localSheetId="5">'LISTADO DE MATERIALES'!$A$1:$D$231</definedName>
    <definedName name="_xlnm.Print_Area" localSheetId="1">'PRESUPUESTO RESUMEN'!$P$1:$U$151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7" l="1"/>
  <c r="F9" i="7"/>
  <c r="I32" i="7"/>
  <c r="H15" i="7"/>
  <c r="H5" i="7"/>
  <c r="U150" i="1" l="1"/>
  <c r="W149" i="1"/>
  <c r="U146" i="1"/>
  <c r="U147" i="1"/>
  <c r="I154" i="10"/>
  <c r="V151" i="1"/>
  <c r="U148" i="1"/>
  <c r="F138" i="10"/>
  <c r="F137" i="10"/>
  <c r="F1473" i="3"/>
  <c r="F1539" i="3"/>
  <c r="F1257" i="3"/>
  <c r="B2060" i="3"/>
  <c r="T129" i="1"/>
  <c r="F1675" i="3"/>
  <c r="B1675" i="3"/>
  <c r="T43" i="1"/>
  <c r="F177" i="3"/>
  <c r="S28" i="1"/>
  <c r="T115" i="1"/>
  <c r="B831" i="3"/>
  <c r="B835" i="3"/>
  <c r="B497" i="3"/>
  <c r="F497" i="3"/>
  <c r="G178" i="5"/>
  <c r="G200" i="5"/>
  <c r="G139" i="10"/>
  <c r="G158" i="10"/>
  <c r="F158" i="10" s="1"/>
  <c r="E158" i="10"/>
  <c r="F157" i="10"/>
  <c r="F156" i="10"/>
  <c r="F155" i="10"/>
  <c r="F154" i="10"/>
  <c r="L138" i="10"/>
  <c r="L137" i="10"/>
  <c r="L136" i="10"/>
  <c r="L130" i="10"/>
  <c r="N130" i="10" s="1"/>
  <c r="I130" i="10"/>
  <c r="G130" i="10"/>
  <c r="L129" i="10"/>
  <c r="N129" i="10" s="1"/>
  <c r="I129" i="10"/>
  <c r="G129" i="10"/>
  <c r="L128" i="10"/>
  <c r="N128" i="10" s="1"/>
  <c r="I128" i="10"/>
  <c r="G128" i="10"/>
  <c r="L127" i="10"/>
  <c r="N127" i="10" s="1"/>
  <c r="I127" i="10"/>
  <c r="G127" i="10"/>
  <c r="L126" i="10"/>
  <c r="N126" i="10" s="1"/>
  <c r="I126" i="10"/>
  <c r="G126" i="10"/>
  <c r="L125" i="10"/>
  <c r="N125" i="10" s="1"/>
  <c r="I125" i="10"/>
  <c r="G125" i="10"/>
  <c r="L124" i="10"/>
  <c r="N124" i="10" s="1"/>
  <c r="I124" i="10"/>
  <c r="G124" i="10"/>
  <c r="L123" i="10"/>
  <c r="N123" i="10" s="1"/>
  <c r="I123" i="10"/>
  <c r="G123" i="10"/>
  <c r="L122" i="10"/>
  <c r="N122" i="10" s="1"/>
  <c r="I122" i="10"/>
  <c r="G122" i="10"/>
  <c r="L121" i="10"/>
  <c r="N121" i="10" s="1"/>
  <c r="I121" i="10"/>
  <c r="G121" i="10"/>
  <c r="L120" i="10"/>
  <c r="N120" i="10" s="1"/>
  <c r="I120" i="10"/>
  <c r="G120" i="10"/>
  <c r="L119" i="10"/>
  <c r="N119" i="10" s="1"/>
  <c r="I119" i="10"/>
  <c r="G119" i="10"/>
  <c r="L118" i="10"/>
  <c r="N118" i="10" s="1"/>
  <c r="I118" i="10"/>
  <c r="G118" i="10"/>
  <c r="L117" i="10"/>
  <c r="N117" i="10" s="1"/>
  <c r="I117" i="10"/>
  <c r="G117" i="10"/>
  <c r="G116" i="10" s="1"/>
  <c r="L116" i="10"/>
  <c r="N116" i="10" s="1"/>
  <c r="I116" i="10"/>
  <c r="L115" i="10"/>
  <c r="N115" i="10" s="1"/>
  <c r="I115" i="10"/>
  <c r="G115" i="10"/>
  <c r="L114" i="10"/>
  <c r="N114" i="10" s="1"/>
  <c r="I114" i="10"/>
  <c r="G114" i="10"/>
  <c r="L113" i="10"/>
  <c r="N113" i="10" s="1"/>
  <c r="I113" i="10"/>
  <c r="G113" i="10"/>
  <c r="L112" i="10"/>
  <c r="N112" i="10" s="1"/>
  <c r="I112" i="10"/>
  <c r="G112" i="10"/>
  <c r="L111" i="10"/>
  <c r="N111" i="10" s="1"/>
  <c r="I111" i="10"/>
  <c r="G111" i="10"/>
  <c r="L110" i="10"/>
  <c r="N110" i="10" s="1"/>
  <c r="I110" i="10"/>
  <c r="G110" i="10"/>
  <c r="L109" i="10"/>
  <c r="N109" i="10" s="1"/>
  <c r="I109" i="10"/>
  <c r="G109" i="10"/>
  <c r="L108" i="10"/>
  <c r="N108" i="10" s="1"/>
  <c r="I108" i="10"/>
  <c r="G108" i="10"/>
  <c r="L107" i="10"/>
  <c r="N107" i="10" s="1"/>
  <c r="I107" i="10"/>
  <c r="G107" i="10"/>
  <c r="L106" i="10"/>
  <c r="N106" i="10" s="1"/>
  <c r="I106" i="10"/>
  <c r="G106" i="10"/>
  <c r="L105" i="10"/>
  <c r="N105" i="10" s="1"/>
  <c r="I105" i="10"/>
  <c r="G105" i="10"/>
  <c r="L104" i="10"/>
  <c r="N104" i="10" s="1"/>
  <c r="I104" i="10"/>
  <c r="G104" i="10"/>
  <c r="L103" i="10"/>
  <c r="N103" i="10" s="1"/>
  <c r="I103" i="10"/>
  <c r="G103" i="10"/>
  <c r="L102" i="10"/>
  <c r="N102" i="10" s="1"/>
  <c r="I102" i="10"/>
  <c r="G102" i="10"/>
  <c r="L101" i="10"/>
  <c r="N101" i="10" s="1"/>
  <c r="I101" i="10"/>
  <c r="G101" i="10"/>
  <c r="L100" i="10"/>
  <c r="N100" i="10" s="1"/>
  <c r="I100" i="10"/>
  <c r="G100" i="10"/>
  <c r="L99" i="10"/>
  <c r="N99" i="10" s="1"/>
  <c r="I99" i="10"/>
  <c r="G99" i="10"/>
  <c r="L98" i="10"/>
  <c r="N98" i="10" s="1"/>
  <c r="I98" i="10"/>
  <c r="G98" i="10"/>
  <c r="L97" i="10"/>
  <c r="N97" i="10" s="1"/>
  <c r="I97" i="10"/>
  <c r="G97" i="10"/>
  <c r="L96" i="10"/>
  <c r="N96" i="10" s="1"/>
  <c r="I96" i="10"/>
  <c r="G96" i="10"/>
  <c r="L95" i="10"/>
  <c r="N95" i="10" s="1"/>
  <c r="I95" i="10"/>
  <c r="G95" i="10"/>
  <c r="L94" i="10"/>
  <c r="N94" i="10" s="1"/>
  <c r="I94" i="10"/>
  <c r="G94" i="10"/>
  <c r="L93" i="10"/>
  <c r="N93" i="10" s="1"/>
  <c r="I93" i="10"/>
  <c r="G93" i="10"/>
  <c r="L92" i="10"/>
  <c r="N92" i="10" s="1"/>
  <c r="I92" i="10"/>
  <c r="G92" i="10"/>
  <c r="L91" i="10"/>
  <c r="N91" i="10" s="1"/>
  <c r="I91" i="10"/>
  <c r="G91" i="10"/>
  <c r="L90" i="10"/>
  <c r="N90" i="10" s="1"/>
  <c r="I90" i="10"/>
  <c r="G90" i="10"/>
  <c r="L89" i="10"/>
  <c r="N89" i="10" s="1"/>
  <c r="I89" i="10"/>
  <c r="G89" i="10"/>
  <c r="L88" i="10"/>
  <c r="N88" i="10" s="1"/>
  <c r="I88" i="10"/>
  <c r="N87" i="10"/>
  <c r="L87" i="10"/>
  <c r="I87" i="10"/>
  <c r="G87" i="10"/>
  <c r="N86" i="10"/>
  <c r="L86" i="10"/>
  <c r="I86" i="10"/>
  <c r="G86" i="10"/>
  <c r="N85" i="10"/>
  <c r="L85" i="10"/>
  <c r="I85" i="10"/>
  <c r="G85" i="10"/>
  <c r="N84" i="10"/>
  <c r="L84" i="10"/>
  <c r="I84" i="10"/>
  <c r="G84" i="10"/>
  <c r="N83" i="10"/>
  <c r="L83" i="10"/>
  <c r="I83" i="10"/>
  <c r="G83" i="10"/>
  <c r="N82" i="10"/>
  <c r="L82" i="10"/>
  <c r="I82" i="10"/>
  <c r="G82" i="10"/>
  <c r="N81" i="10"/>
  <c r="L81" i="10"/>
  <c r="I81" i="10"/>
  <c r="G81" i="10"/>
  <c r="N80" i="10"/>
  <c r="L80" i="10"/>
  <c r="I80" i="10"/>
  <c r="G80" i="10"/>
  <c r="N79" i="10"/>
  <c r="L79" i="10"/>
  <c r="I79" i="10"/>
  <c r="G79" i="10"/>
  <c r="N78" i="10"/>
  <c r="L78" i="10"/>
  <c r="I78" i="10"/>
  <c r="G78" i="10"/>
  <c r="N77" i="10"/>
  <c r="L77" i="10"/>
  <c r="I77" i="10"/>
  <c r="G77" i="10"/>
  <c r="N76" i="10"/>
  <c r="L76" i="10"/>
  <c r="I76" i="10"/>
  <c r="G76" i="10"/>
  <c r="N75" i="10"/>
  <c r="L75" i="10"/>
  <c r="I75" i="10"/>
  <c r="G75" i="10"/>
  <c r="N74" i="10"/>
  <c r="L74" i="10"/>
  <c r="I74" i="10"/>
  <c r="G74" i="10"/>
  <c r="N73" i="10"/>
  <c r="L73" i="10"/>
  <c r="I73" i="10"/>
  <c r="G73" i="10"/>
  <c r="N72" i="10"/>
  <c r="L72" i="10"/>
  <c r="I72" i="10"/>
  <c r="G72" i="10"/>
  <c r="N71" i="10"/>
  <c r="L71" i="10"/>
  <c r="I71" i="10"/>
  <c r="G71" i="10"/>
  <c r="N70" i="10"/>
  <c r="L70" i="10"/>
  <c r="I70" i="10"/>
  <c r="G70" i="10"/>
  <c r="N69" i="10"/>
  <c r="L69" i="10"/>
  <c r="I69" i="10"/>
  <c r="G69" i="10"/>
  <c r="N68" i="10"/>
  <c r="L68" i="10"/>
  <c r="I68" i="10"/>
  <c r="G68" i="10"/>
  <c r="G67" i="10" s="1"/>
  <c r="N67" i="10"/>
  <c r="L67" i="10"/>
  <c r="I67" i="10"/>
  <c r="N66" i="10"/>
  <c r="L66" i="10"/>
  <c r="I66" i="10"/>
  <c r="G66" i="10"/>
  <c r="N65" i="10"/>
  <c r="L65" i="10"/>
  <c r="I65" i="10"/>
  <c r="G65" i="10"/>
  <c r="N64" i="10"/>
  <c r="L64" i="10"/>
  <c r="I64" i="10"/>
  <c r="G64" i="10"/>
  <c r="N63" i="10"/>
  <c r="L63" i="10"/>
  <c r="I63" i="10"/>
  <c r="G63" i="10"/>
  <c r="N62" i="10"/>
  <c r="L62" i="10"/>
  <c r="I62" i="10"/>
  <c r="G62" i="10"/>
  <c r="N61" i="10"/>
  <c r="L61" i="10"/>
  <c r="I61" i="10"/>
  <c r="G61" i="10"/>
  <c r="N60" i="10"/>
  <c r="L60" i="10"/>
  <c r="I60" i="10"/>
  <c r="G60" i="10"/>
  <c r="N59" i="10"/>
  <c r="L59" i="10"/>
  <c r="I59" i="10"/>
  <c r="G59" i="10"/>
  <c r="N58" i="10"/>
  <c r="L58" i="10"/>
  <c r="I58" i="10"/>
  <c r="G58" i="10"/>
  <c r="G57" i="10" s="1"/>
  <c r="N57" i="10"/>
  <c r="L57" i="10"/>
  <c r="I57" i="10"/>
  <c r="N56" i="10"/>
  <c r="L56" i="10"/>
  <c r="I56" i="10"/>
  <c r="G56" i="10"/>
  <c r="N55" i="10"/>
  <c r="L55" i="10"/>
  <c r="I55" i="10"/>
  <c r="G55" i="10"/>
  <c r="N54" i="10"/>
  <c r="L54" i="10"/>
  <c r="I54" i="10"/>
  <c r="G54" i="10"/>
  <c r="N53" i="10"/>
  <c r="L53" i="10"/>
  <c r="I53" i="10"/>
  <c r="G53" i="10"/>
  <c r="N52" i="10"/>
  <c r="L52" i="10"/>
  <c r="I52" i="10"/>
  <c r="G52" i="10"/>
  <c r="G51" i="10" s="1"/>
  <c r="N51" i="10"/>
  <c r="L51" i="10"/>
  <c r="I51" i="10"/>
  <c r="N50" i="10"/>
  <c r="L50" i="10"/>
  <c r="I50" i="10"/>
  <c r="G50" i="10"/>
  <c r="N49" i="10"/>
  <c r="L49" i="10"/>
  <c r="I49" i="10"/>
  <c r="G49" i="10"/>
  <c r="N48" i="10"/>
  <c r="L48" i="10"/>
  <c r="I48" i="10"/>
  <c r="G48" i="10"/>
  <c r="N47" i="10"/>
  <c r="L47" i="10"/>
  <c r="I47" i="10"/>
  <c r="G47" i="10"/>
  <c r="N46" i="10"/>
  <c r="L46" i="10"/>
  <c r="I46" i="10"/>
  <c r="G46" i="10"/>
  <c r="G45" i="10" s="1"/>
  <c r="N45" i="10"/>
  <c r="L45" i="10"/>
  <c r="I45" i="10"/>
  <c r="N44" i="10"/>
  <c r="L44" i="10"/>
  <c r="I44" i="10"/>
  <c r="G44" i="10"/>
  <c r="N43" i="10"/>
  <c r="L43" i="10"/>
  <c r="I43" i="10"/>
  <c r="G43" i="10"/>
  <c r="N42" i="10"/>
  <c r="L42" i="10"/>
  <c r="I42" i="10"/>
  <c r="G42" i="10"/>
  <c r="N41" i="10"/>
  <c r="L41" i="10"/>
  <c r="I41" i="10"/>
  <c r="G41" i="10"/>
  <c r="N40" i="10"/>
  <c r="L40" i="10"/>
  <c r="I40" i="10"/>
  <c r="G40" i="10"/>
  <c r="N39" i="10"/>
  <c r="L39" i="10"/>
  <c r="I39" i="10"/>
  <c r="G39" i="10"/>
  <c r="N38" i="10"/>
  <c r="L38" i="10"/>
  <c r="I38" i="10"/>
  <c r="G38" i="10"/>
  <c r="G37" i="10" s="1"/>
  <c r="N37" i="10"/>
  <c r="L37" i="10"/>
  <c r="I37" i="10"/>
  <c r="N36" i="10"/>
  <c r="L36" i="10"/>
  <c r="I36" i="10"/>
  <c r="G36" i="10"/>
  <c r="N35" i="10"/>
  <c r="L35" i="10"/>
  <c r="I35" i="10"/>
  <c r="G35" i="10"/>
  <c r="N34" i="10"/>
  <c r="L34" i="10"/>
  <c r="I34" i="10"/>
  <c r="G34" i="10"/>
  <c r="N33" i="10"/>
  <c r="L33" i="10"/>
  <c r="I33" i="10"/>
  <c r="G33" i="10"/>
  <c r="N32" i="10"/>
  <c r="L32" i="10"/>
  <c r="I32" i="10"/>
  <c r="G32" i="10"/>
  <c r="N31" i="10"/>
  <c r="L31" i="10"/>
  <c r="I31" i="10"/>
  <c r="G31" i="10"/>
  <c r="N30" i="10"/>
  <c r="L30" i="10"/>
  <c r="I30" i="10"/>
  <c r="G30" i="10"/>
  <c r="N29" i="10"/>
  <c r="L29" i="10"/>
  <c r="I29" i="10"/>
  <c r="G29" i="10"/>
  <c r="N28" i="10"/>
  <c r="L28" i="10"/>
  <c r="I28" i="10"/>
  <c r="G28" i="10"/>
  <c r="N27" i="10"/>
  <c r="L27" i="10"/>
  <c r="I27" i="10"/>
  <c r="G27" i="10"/>
  <c r="N26" i="10"/>
  <c r="L26" i="10"/>
  <c r="I26" i="10"/>
  <c r="G26" i="10"/>
  <c r="G25" i="10" s="1"/>
  <c r="N25" i="10"/>
  <c r="L25" i="10"/>
  <c r="I25" i="10"/>
  <c r="N24" i="10"/>
  <c r="L24" i="10"/>
  <c r="I24" i="10"/>
  <c r="G24" i="10"/>
  <c r="N23" i="10"/>
  <c r="L23" i="10"/>
  <c r="I23" i="10"/>
  <c r="G23" i="10"/>
  <c r="N22" i="10"/>
  <c r="L22" i="10"/>
  <c r="I22" i="10"/>
  <c r="G22" i="10"/>
  <c r="N21" i="10"/>
  <c r="L21" i="10"/>
  <c r="I21" i="10"/>
  <c r="G21" i="10"/>
  <c r="N20" i="10"/>
  <c r="L20" i="10"/>
  <c r="I20" i="10"/>
  <c r="G20" i="10"/>
  <c r="N19" i="10"/>
  <c r="L19" i="10"/>
  <c r="I19" i="10"/>
  <c r="G19" i="10"/>
  <c r="N18" i="10"/>
  <c r="L18" i="10"/>
  <c r="I18" i="10"/>
  <c r="G18" i="10"/>
  <c r="N17" i="10"/>
  <c r="L17" i="10"/>
  <c r="I17" i="10"/>
  <c r="G17" i="10"/>
  <c r="L16" i="10"/>
  <c r="N16" i="10" s="1"/>
  <c r="I16" i="10"/>
  <c r="G16" i="10"/>
  <c r="N15" i="10"/>
  <c r="L15" i="10"/>
  <c r="I15" i="10"/>
  <c r="G15" i="10"/>
  <c r="L14" i="10"/>
  <c r="N14" i="10" s="1"/>
  <c r="I14" i="10"/>
  <c r="G14" i="10"/>
  <c r="N13" i="10"/>
  <c r="L13" i="10"/>
  <c r="I13" i="10"/>
  <c r="G13" i="10"/>
  <c r="L12" i="10"/>
  <c r="N12" i="10" s="1"/>
  <c r="I12" i="10"/>
  <c r="G12" i="10"/>
  <c r="N11" i="10"/>
  <c r="L11" i="10"/>
  <c r="I11" i="10"/>
  <c r="G11" i="10"/>
  <c r="L10" i="10"/>
  <c r="N10" i="10" s="1"/>
  <c r="I10" i="10"/>
  <c r="G10" i="10"/>
  <c r="N9" i="10"/>
  <c r="L9" i="10"/>
  <c r="I9" i="10"/>
  <c r="G9" i="10"/>
  <c r="L8" i="10"/>
  <c r="N8" i="10" s="1"/>
  <c r="I8" i="10"/>
  <c r="G8" i="10"/>
  <c r="N7" i="10"/>
  <c r="N133" i="10" s="1"/>
  <c r="L7" i="10"/>
  <c r="I7" i="10"/>
  <c r="G7" i="10"/>
  <c r="G6" i="10"/>
  <c r="U151" i="1" l="1"/>
  <c r="V152" i="1" s="1"/>
  <c r="U149" i="1"/>
  <c r="G134" i="10"/>
  <c r="N134" i="10"/>
  <c r="N136" i="10"/>
  <c r="F136" i="10" l="1"/>
  <c r="G135" i="10"/>
  <c r="Q173" i="5" l="1"/>
  <c r="Q174" i="5"/>
  <c r="J177" i="5"/>
  <c r="J178" i="5"/>
  <c r="Q178" i="5"/>
  <c r="J179" i="5"/>
  <c r="J180" i="5"/>
  <c r="J181" i="5"/>
  <c r="K188" i="5"/>
  <c r="L188" i="5" s="1"/>
  <c r="O199" i="5"/>
  <c r="P199" i="5" s="1"/>
  <c r="Q199" i="5" s="1"/>
  <c r="T199" i="5" s="1"/>
  <c r="P200" i="5"/>
  <c r="Q200" i="5" s="1"/>
  <c r="T200" i="5" s="1"/>
  <c r="O201" i="5"/>
  <c r="P201" i="5"/>
  <c r="Q201" i="5" s="1"/>
  <c r="T201" i="5" s="1"/>
  <c r="Q175" i="5" l="1"/>
  <c r="Q176" i="5" s="1"/>
  <c r="T130" i="1"/>
  <c r="H28" i="8" l="1"/>
  <c r="U130" i="1" l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14" i="1"/>
  <c r="U55" i="1"/>
  <c r="U54" i="1"/>
  <c r="U53" i="1"/>
  <c r="U52" i="1"/>
  <c r="U51" i="1"/>
  <c r="U50" i="1"/>
  <c r="U49" i="1"/>
  <c r="U47" i="1"/>
  <c r="U46" i="1"/>
  <c r="U44" i="1"/>
  <c r="U42" i="1"/>
  <c r="U41" i="1"/>
  <c r="U40" i="1"/>
  <c r="U39" i="1"/>
  <c r="H183" i="5"/>
  <c r="F43" i="3"/>
  <c r="D1971" i="3"/>
  <c r="C1971" i="3"/>
  <c r="F1971" i="3" s="1"/>
  <c r="D350" i="5"/>
  <c r="H350" i="5" s="1"/>
  <c r="H349" i="5"/>
  <c r="H279" i="5"/>
  <c r="H280" i="5"/>
  <c r="H281" i="5"/>
  <c r="H284" i="5"/>
  <c r="H285" i="5"/>
  <c r="T48" i="1"/>
  <c r="U48" i="1" s="1"/>
  <c r="T45" i="1"/>
  <c r="U45" i="1" s="1"/>
  <c r="U43" i="1"/>
  <c r="K28" i="1"/>
  <c r="H286" i="5" l="1"/>
  <c r="K407" i="3" l="1"/>
  <c r="J407" i="3"/>
  <c r="L407" i="3" s="1"/>
  <c r="V25" i="1"/>
  <c r="N406" i="3" s="1"/>
  <c r="V20" i="1"/>
  <c r="L131" i="1"/>
  <c r="K131" i="1"/>
  <c r="K129" i="1"/>
  <c r="V160" i="1"/>
  <c r="M49" i="1"/>
  <c r="N157" i="1"/>
  <c r="N160" i="1"/>
  <c r="L115" i="1"/>
  <c r="M407" i="3" l="1"/>
  <c r="N407" i="3" s="1"/>
  <c r="M131" i="1"/>
  <c r="I27" i="3" l="1"/>
  <c r="J37" i="3" s="1"/>
  <c r="M150" i="1"/>
  <c r="M55" i="1"/>
  <c r="M54" i="1"/>
  <c r="M53" i="1"/>
  <c r="M52" i="1"/>
  <c r="M51" i="1"/>
  <c r="M50" i="1"/>
  <c r="M48" i="1"/>
  <c r="M47" i="1"/>
  <c r="M46" i="1"/>
  <c r="M45" i="1"/>
  <c r="M44" i="1"/>
  <c r="M43" i="1"/>
  <c r="M42" i="1"/>
  <c r="M41" i="1"/>
  <c r="M40" i="1"/>
  <c r="M39" i="1"/>
  <c r="J40" i="3" l="1"/>
  <c r="J43" i="3"/>
  <c r="H129" i="5" l="1"/>
  <c r="G25" i="7" l="1"/>
  <c r="C1239" i="3"/>
  <c r="B1224" i="3"/>
  <c r="B661" i="3"/>
  <c r="H175" i="5" l="1"/>
  <c r="G174" i="5"/>
  <c r="H174" i="5" s="1"/>
  <c r="H182" i="5" l="1"/>
  <c r="D229" i="4" l="1"/>
  <c r="F571" i="3" l="1"/>
  <c r="B1922" i="3" l="1"/>
  <c r="B1876" i="3"/>
  <c r="B1900" i="3"/>
  <c r="B1877" i="3"/>
  <c r="F1678" i="3" l="1"/>
  <c r="F1677" i="3"/>
  <c r="F1676" i="3"/>
  <c r="F72" i="9" l="1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640" i="3"/>
  <c r="F641" i="3"/>
  <c r="B591" i="3"/>
  <c r="D9" i="8" l="1"/>
  <c r="H9" i="8" s="1"/>
  <c r="F12" i="7"/>
  <c r="G12" i="7" s="1"/>
  <c r="D29" i="7"/>
  <c r="D30" i="7"/>
  <c r="F14" i="7"/>
  <c r="G14" i="7" s="1"/>
  <c r="F13" i="7"/>
  <c r="G13" i="7" s="1"/>
  <c r="G10" i="7"/>
  <c r="D7" i="8"/>
  <c r="H7" i="8" s="1"/>
  <c r="H36" i="8"/>
  <c r="H35" i="8"/>
  <c r="H34" i="8"/>
  <c r="H33" i="8"/>
  <c r="H32" i="8"/>
  <c r="H31" i="8"/>
  <c r="H30" i="8"/>
  <c r="H29" i="8"/>
  <c r="H27" i="8"/>
  <c r="H26" i="8"/>
  <c r="C25" i="8"/>
  <c r="H25" i="8" s="1"/>
  <c r="H24" i="8"/>
  <c r="D19" i="8"/>
  <c r="H19" i="8" s="1"/>
  <c r="D18" i="8"/>
  <c r="H18" i="8" s="1"/>
  <c r="D17" i="8"/>
  <c r="H17" i="8" s="1"/>
  <c r="D16" i="8"/>
  <c r="H16" i="8" s="1"/>
  <c r="D15" i="8"/>
  <c r="H15" i="8" s="1"/>
  <c r="D14" i="8"/>
  <c r="H14" i="8" s="1"/>
  <c r="D13" i="8"/>
  <c r="H13" i="8" s="1"/>
  <c r="D12" i="8"/>
  <c r="H12" i="8" s="1"/>
  <c r="D11" i="8"/>
  <c r="H11" i="8" s="1"/>
  <c r="D10" i="8"/>
  <c r="H10" i="8" s="1"/>
  <c r="D8" i="8"/>
  <c r="H8" i="8" s="1"/>
  <c r="F197" i="3"/>
  <c r="F194" i="3"/>
  <c r="G15" i="7"/>
  <c r="G9" i="7"/>
  <c r="D31" i="7"/>
  <c r="G28" i="7"/>
  <c r="H28" i="7" s="1"/>
  <c r="G27" i="7"/>
  <c r="H27" i="7" s="1"/>
  <c r="G26" i="7"/>
  <c r="H26" i="7" s="1"/>
  <c r="H25" i="7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H20" i="8" l="1"/>
  <c r="H37" i="8"/>
  <c r="H10" i="7"/>
  <c r="H32" i="7" s="1"/>
  <c r="J32" i="7" s="1"/>
  <c r="H39" i="8" l="1"/>
  <c r="H40" i="8" s="1"/>
  <c r="H41" i="8" s="1"/>
  <c r="J41" i="8" s="1"/>
  <c r="B454" i="3"/>
  <c r="B1152" i="3"/>
  <c r="F1152" i="3" s="1"/>
  <c r="F2095" i="3"/>
  <c r="F2090" i="3"/>
  <c r="F2089" i="3"/>
  <c r="F2077" i="3"/>
  <c r="F2068" i="3"/>
  <c r="F2067" i="3"/>
  <c r="F2066" i="3"/>
  <c r="F2065" i="3"/>
  <c r="F2064" i="3"/>
  <c r="F2063" i="3"/>
  <c r="F2062" i="3"/>
  <c r="F2061" i="3"/>
  <c r="F2049" i="3"/>
  <c r="F2040" i="3"/>
  <c r="F2029" i="3"/>
  <c r="F2008" i="3"/>
  <c r="F1996" i="3"/>
  <c r="F1998" i="3"/>
  <c r="F1997" i="3"/>
  <c r="F1999" i="3"/>
  <c r="F1995" i="3"/>
  <c r="F1994" i="3"/>
  <c r="F1993" i="3"/>
  <c r="F1992" i="3"/>
  <c r="F1991" i="3"/>
  <c r="F1980" i="3"/>
  <c r="F1970" i="3"/>
  <c r="F1969" i="3"/>
  <c r="F1968" i="3"/>
  <c r="F1967" i="3"/>
  <c r="F1956" i="3"/>
  <c r="F1947" i="3"/>
  <c r="F1946" i="3"/>
  <c r="F1945" i="3"/>
  <c r="F1944" i="3"/>
  <c r="F1943" i="3"/>
  <c r="F1933" i="3"/>
  <c r="F1924" i="3"/>
  <c r="F1923" i="3"/>
  <c r="F1912" i="3"/>
  <c r="F1906" i="3"/>
  <c r="F1902" i="3"/>
  <c r="F1901" i="3"/>
  <c r="F1889" i="3"/>
  <c r="F1883" i="3"/>
  <c r="F1879" i="3"/>
  <c r="F1878" i="3"/>
  <c r="F1859" i="3"/>
  <c r="F1853" i="3"/>
  <c r="F1849" i="3"/>
  <c r="F1848" i="3"/>
  <c r="F1837" i="3"/>
  <c r="F1831" i="3"/>
  <c r="F1827" i="3"/>
  <c r="F1826" i="3"/>
  <c r="F1825" i="3"/>
  <c r="F1824" i="3"/>
  <c r="F1814" i="3"/>
  <c r="F1808" i="3"/>
  <c r="F1804" i="3"/>
  <c r="F1803" i="3"/>
  <c r="F1802" i="3"/>
  <c r="F1790" i="3"/>
  <c r="F1780" i="3"/>
  <c r="F1779" i="3"/>
  <c r="F1778" i="3"/>
  <c r="F1765" i="3"/>
  <c r="F1755" i="3"/>
  <c r="F1754" i="3"/>
  <c r="F1753" i="3"/>
  <c r="F1752" i="3"/>
  <c r="F1751" i="3"/>
  <c r="F1750" i="3"/>
  <c r="F1749" i="3"/>
  <c r="F1748" i="3"/>
  <c r="F1737" i="3"/>
  <c r="F1728" i="3"/>
  <c r="F1727" i="3"/>
  <c r="F1726" i="3"/>
  <c r="F1725" i="3"/>
  <c r="F1724" i="3"/>
  <c r="F1714" i="3"/>
  <c r="F1704" i="3"/>
  <c r="F1703" i="3"/>
  <c r="F1702" i="3"/>
  <c r="F1701" i="3"/>
  <c r="F1700" i="3"/>
  <c r="F1688" i="3"/>
  <c r="F1664" i="3"/>
  <c r="F1654" i="3"/>
  <c r="F1653" i="3"/>
  <c r="F1641" i="3"/>
  <c r="F1621" i="3"/>
  <c r="F1611" i="3"/>
  <c r="F1610" i="3"/>
  <c r="F1600" i="3"/>
  <c r="F1590" i="3"/>
  <c r="F1589" i="3"/>
  <c r="F1579" i="3"/>
  <c r="F1569" i="3"/>
  <c r="F1568" i="3"/>
  <c r="F1558" i="3"/>
  <c r="F1548" i="3"/>
  <c r="F1537" i="3"/>
  <c r="F1527" i="3"/>
  <c r="F1526" i="3"/>
  <c r="F1516" i="3"/>
  <c r="F1506" i="3"/>
  <c r="F1505" i="3"/>
  <c r="F1495" i="3"/>
  <c r="F1485" i="3"/>
  <c r="F1484" i="3"/>
  <c r="F1483" i="3"/>
  <c r="F1463" i="3"/>
  <c r="F1453" i="3"/>
  <c r="F1443" i="3"/>
  <c r="F1442" i="3"/>
  <c r="F1431" i="3"/>
  <c r="F1418" i="3"/>
  <c r="F1417" i="3"/>
  <c r="F1405" i="3"/>
  <c r="F1392" i="3"/>
  <c r="F1391" i="3"/>
  <c r="F1379" i="3"/>
  <c r="F1366" i="3"/>
  <c r="F1365" i="3"/>
  <c r="F1351" i="3"/>
  <c r="F1341" i="3"/>
  <c r="F1340" i="3"/>
  <c r="F1330" i="3"/>
  <c r="F1320" i="3"/>
  <c r="F1319" i="3"/>
  <c r="F1309" i="3"/>
  <c r="F1286" i="3"/>
  <c r="F1276" i="3"/>
  <c r="F1275" i="3"/>
  <c r="F1252" i="3"/>
  <c r="F1251" i="3"/>
  <c r="F1250" i="3"/>
  <c r="F1239" i="3"/>
  <c r="F1226" i="3"/>
  <c r="F1225" i="3"/>
  <c r="F1214" i="3"/>
  <c r="F1201" i="3"/>
  <c r="F1200" i="3"/>
  <c r="F1189" i="3"/>
  <c r="F1163" i="3"/>
  <c r="F1153" i="3"/>
  <c r="F1142" i="3"/>
  <c r="F1132" i="3"/>
  <c r="F1131" i="3"/>
  <c r="F1121" i="3"/>
  <c r="F1111" i="3"/>
  <c r="F1110" i="3"/>
  <c r="F1099" i="3"/>
  <c r="F1071" i="3"/>
  <c r="F1047" i="3"/>
  <c r="F1023" i="3"/>
  <c r="F994" i="3"/>
  <c r="F967" i="3"/>
  <c r="F936" i="3"/>
  <c r="F910" i="3"/>
  <c r="F900" i="3"/>
  <c r="F899" i="3"/>
  <c r="F898" i="3"/>
  <c r="F887" i="3"/>
  <c r="F877" i="3"/>
  <c r="F876" i="3"/>
  <c r="F875" i="3"/>
  <c r="F865" i="3"/>
  <c r="F855" i="3"/>
  <c r="F845" i="3"/>
  <c r="F832" i="3"/>
  <c r="F833" i="3"/>
  <c r="F821" i="3"/>
  <c r="F810" i="3"/>
  <c r="F809" i="3"/>
  <c r="F798" i="3"/>
  <c r="F786" i="3"/>
  <c r="F785" i="3"/>
  <c r="F774" i="3"/>
  <c r="F762" i="3"/>
  <c r="F761" i="3"/>
  <c r="F749" i="3"/>
  <c r="F737" i="3"/>
  <c r="F736" i="3"/>
  <c r="F724" i="3"/>
  <c r="F712" i="3"/>
  <c r="F711" i="3"/>
  <c r="F699" i="3"/>
  <c r="F687" i="3"/>
  <c r="F686" i="3"/>
  <c r="F674" i="3"/>
  <c r="F663" i="3"/>
  <c r="F662" i="3"/>
  <c r="F651" i="3"/>
  <c r="F639" i="3"/>
  <c r="F638" i="3"/>
  <c r="F637" i="3"/>
  <c r="F625" i="3"/>
  <c r="F603" i="3"/>
  <c r="F581" i="3"/>
  <c r="F578" i="3"/>
  <c r="F570" i="3"/>
  <c r="F569" i="3"/>
  <c r="F568" i="3"/>
  <c r="F567" i="3"/>
  <c r="F566" i="3"/>
  <c r="F565" i="3"/>
  <c r="F564" i="3"/>
  <c r="F563" i="3"/>
  <c r="F562" i="3"/>
  <c r="F561" i="3"/>
  <c r="F551" i="3"/>
  <c r="F548" i="3"/>
  <c r="F544" i="3"/>
  <c r="F541" i="3"/>
  <c r="F540" i="3"/>
  <c r="F521" i="3"/>
  <c r="F518" i="3"/>
  <c r="F517" i="3"/>
  <c r="F507" i="3"/>
  <c r="F504" i="3"/>
  <c r="F500" i="3"/>
  <c r="F496" i="3"/>
  <c r="F486" i="3"/>
  <c r="F483" i="3"/>
  <c r="F479" i="3"/>
  <c r="F476" i="3"/>
  <c r="F475" i="3"/>
  <c r="F465" i="3"/>
  <c r="F462" i="3"/>
  <c r="F455" i="3"/>
  <c r="F432" i="3"/>
  <c r="F429" i="3"/>
  <c r="G430" i="3" s="1"/>
  <c r="F418" i="3"/>
  <c r="F410" i="3"/>
  <c r="F407" i="3"/>
  <c r="G408" i="3" s="1"/>
  <c r="F368" i="3"/>
  <c r="F365" i="3"/>
  <c r="G366" i="3" s="1"/>
  <c r="F355" i="3"/>
  <c r="F352" i="3"/>
  <c r="F347" i="3"/>
  <c r="F343" i="3"/>
  <c r="F342" i="3"/>
  <c r="F332" i="3"/>
  <c r="F324" i="3"/>
  <c r="F320" i="3"/>
  <c r="F286" i="3"/>
  <c r="F278" i="3"/>
  <c r="F274" i="3"/>
  <c r="G276" i="3" s="1"/>
  <c r="F264" i="3"/>
  <c r="F256" i="3"/>
  <c r="F252" i="3"/>
  <c r="G254" i="3" s="1"/>
  <c r="F229" i="3"/>
  <c r="G231" i="3" s="1"/>
  <c r="F211" i="3"/>
  <c r="F207" i="3"/>
  <c r="G209" i="3" s="1"/>
  <c r="F185" i="3"/>
  <c r="G187" i="3" s="1"/>
  <c r="F189" i="3" s="1"/>
  <c r="F62" i="3"/>
  <c r="F36" i="3"/>
  <c r="J36" i="3" s="1"/>
  <c r="F35" i="3"/>
  <c r="J35" i="3" s="1"/>
  <c r="F12" i="3"/>
  <c r="F11" i="3"/>
  <c r="F10" i="3"/>
  <c r="F150" i="1" l="1"/>
  <c r="F583" i="3"/>
  <c r="G1679" i="3"/>
  <c r="G1705" i="3"/>
  <c r="G572" i="3"/>
  <c r="G13" i="3"/>
  <c r="F216" i="3"/>
  <c r="F212" i="3"/>
  <c r="F261" i="3"/>
  <c r="F257" i="3"/>
  <c r="F283" i="3"/>
  <c r="F279" i="3"/>
  <c r="F234" i="3"/>
  <c r="F238" i="3"/>
  <c r="F415" i="3"/>
  <c r="F411" i="3"/>
  <c r="G477" i="3"/>
  <c r="F302" i="3"/>
  <c r="F298" i="3"/>
  <c r="F310" i="3"/>
  <c r="F373" i="3"/>
  <c r="F369" i="3"/>
  <c r="F376" i="3"/>
  <c r="F389" i="3"/>
  <c r="F386" i="3"/>
  <c r="G387" i="3" s="1"/>
  <c r="F437" i="3"/>
  <c r="F433" i="3"/>
  <c r="F397" i="3"/>
  <c r="F440" i="3"/>
  <c r="F528" i="3"/>
  <c r="F525" i="3"/>
  <c r="L35" i="1" l="1"/>
  <c r="T35" i="1"/>
  <c r="G300" i="3"/>
  <c r="F266" i="3"/>
  <c r="F394" i="3"/>
  <c r="F390" i="3"/>
  <c r="F307" i="3"/>
  <c r="F303" i="3"/>
  <c r="F312" i="3" s="1"/>
  <c r="F530" i="3"/>
  <c r="G1850" i="3"/>
  <c r="L20" i="1" l="1"/>
  <c r="T20" i="1"/>
  <c r="E22" i="9"/>
  <c r="T18" i="1"/>
  <c r="L18" i="1"/>
  <c r="F1852" i="3"/>
  <c r="F1856" i="3"/>
  <c r="B2019" i="3"/>
  <c r="F2019" i="3" s="1"/>
  <c r="F1861" i="3" l="1"/>
  <c r="D108" i="4"/>
  <c r="D185" i="4"/>
  <c r="D216" i="4"/>
  <c r="D202" i="4"/>
  <c r="D107" i="4"/>
  <c r="D184" i="4"/>
  <c r="D215" i="4"/>
  <c r="D201" i="4"/>
  <c r="D103" i="4"/>
  <c r="D177" i="4"/>
  <c r="D210" i="4"/>
  <c r="D200" i="4"/>
  <c r="F83" i="5"/>
  <c r="H83" i="5" s="1"/>
  <c r="F82" i="5"/>
  <c r="H78" i="5"/>
  <c r="H283" i="5"/>
  <c r="H277" i="5"/>
  <c r="H276" i="5"/>
  <c r="H275" i="5"/>
  <c r="H274" i="5"/>
  <c r="H273" i="5"/>
  <c r="H272" i="5"/>
  <c r="H271" i="5"/>
  <c r="H270" i="5"/>
  <c r="H268" i="5"/>
  <c r="H267" i="5"/>
  <c r="H266" i="5"/>
  <c r="H265" i="5"/>
  <c r="H263" i="5"/>
  <c r="H262" i="5"/>
  <c r="H261" i="5"/>
  <c r="H259" i="5"/>
  <c r="H258" i="5"/>
  <c r="H257" i="5"/>
  <c r="H255" i="5"/>
  <c r="H254" i="5"/>
  <c r="H252" i="5"/>
  <c r="H251" i="5"/>
  <c r="H249" i="5"/>
  <c r="H248" i="5"/>
  <c r="H247" i="5"/>
  <c r="H82" i="5"/>
  <c r="H81" i="5"/>
  <c r="H80" i="5"/>
  <c r="H79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L113" i="1" l="1"/>
  <c r="T113" i="1"/>
  <c r="H253" i="5"/>
  <c r="D89" i="9" s="1"/>
  <c r="H264" i="5"/>
  <c r="K77" i="1" s="1"/>
  <c r="H278" i="5"/>
  <c r="S87" i="1" s="1"/>
  <c r="H282" i="5"/>
  <c r="K88" i="1" s="1"/>
  <c r="H269" i="5"/>
  <c r="H250" i="5"/>
  <c r="D88" i="9" s="1"/>
  <c r="K81" i="1"/>
  <c r="S81" i="1"/>
  <c r="K79" i="1"/>
  <c r="M79" i="1" s="1"/>
  <c r="S79" i="1"/>
  <c r="U79" i="1" s="1"/>
  <c r="K76" i="1"/>
  <c r="S76" i="1"/>
  <c r="S83" i="1"/>
  <c r="K83" i="1"/>
  <c r="K84" i="1"/>
  <c r="S84" i="1"/>
  <c r="S86" i="1"/>
  <c r="K86" i="1"/>
  <c r="K74" i="1"/>
  <c r="S74" i="1"/>
  <c r="S82" i="1"/>
  <c r="K82" i="1"/>
  <c r="S77" i="1"/>
  <c r="H256" i="5"/>
  <c r="D90" i="9" s="1"/>
  <c r="K78" i="1"/>
  <c r="S78" i="1"/>
  <c r="K89" i="1"/>
  <c r="S89" i="1"/>
  <c r="K90" i="1"/>
  <c r="S90" i="1"/>
  <c r="D91" i="9"/>
  <c r="D95" i="9"/>
  <c r="D97" i="9"/>
  <c r="D98" i="9"/>
  <c r="D100" i="9"/>
  <c r="D104" i="9"/>
  <c r="D106" i="9"/>
  <c r="D93" i="9"/>
  <c r="D96" i="9"/>
  <c r="D99" i="9"/>
  <c r="D101" i="9"/>
  <c r="D103" i="9"/>
  <c r="D107" i="9"/>
  <c r="E130" i="9"/>
  <c r="H84" i="5"/>
  <c r="H260" i="5"/>
  <c r="B1421" i="3"/>
  <c r="F1421" i="3" s="1"/>
  <c r="B1420" i="3"/>
  <c r="F1420" i="3" s="1"/>
  <c r="B1419" i="3"/>
  <c r="F1419" i="3" s="1"/>
  <c r="B1416" i="3"/>
  <c r="F1416" i="3" s="1"/>
  <c r="B1395" i="3"/>
  <c r="F1395" i="3" s="1"/>
  <c r="B1394" i="3"/>
  <c r="F1394" i="3" s="1"/>
  <c r="B1393" i="3"/>
  <c r="F1393" i="3" s="1"/>
  <c r="B1390" i="3"/>
  <c r="F1390" i="3" s="1"/>
  <c r="B1369" i="3"/>
  <c r="F1369" i="3" s="1"/>
  <c r="B1368" i="3"/>
  <c r="F1368" i="3" s="1"/>
  <c r="B1367" i="3"/>
  <c r="F1367" i="3" s="1"/>
  <c r="B1364" i="3"/>
  <c r="F1364" i="3" s="1"/>
  <c r="F926" i="3"/>
  <c r="F925" i="3"/>
  <c r="F924" i="3"/>
  <c r="F923" i="3"/>
  <c r="B922" i="3"/>
  <c r="F922" i="3" s="1"/>
  <c r="S88" i="1" l="1"/>
  <c r="D105" i="9"/>
  <c r="K87" i="1"/>
  <c r="D94" i="9"/>
  <c r="S72" i="1"/>
  <c r="K72" i="1"/>
  <c r="K13" i="1"/>
  <c r="S13" i="1"/>
  <c r="S73" i="1"/>
  <c r="K73" i="1"/>
  <c r="K80" i="1"/>
  <c r="S80" i="1"/>
  <c r="K75" i="1"/>
  <c r="S75" i="1"/>
  <c r="K71" i="1"/>
  <c r="S71" i="1"/>
  <c r="G1370" i="3"/>
  <c r="D92" i="9"/>
  <c r="D17" i="9"/>
  <c r="G927" i="3"/>
  <c r="G1342" i="3"/>
  <c r="G1422" i="3"/>
  <c r="G1396" i="3"/>
  <c r="G1321" i="3"/>
  <c r="H235" i="5"/>
  <c r="H234" i="5"/>
  <c r="H233" i="5"/>
  <c r="H232" i="5"/>
  <c r="H317" i="5"/>
  <c r="H318" i="5"/>
  <c r="H316" i="5"/>
  <c r="H315" i="5"/>
  <c r="H314" i="5"/>
  <c r="H244" i="5"/>
  <c r="H243" i="5"/>
  <c r="E201" i="5"/>
  <c r="H201" i="5" s="1"/>
  <c r="H370" i="5"/>
  <c r="H368" i="5"/>
  <c r="H367" i="5"/>
  <c r="H365" i="5"/>
  <c r="H362" i="5"/>
  <c r="H361" i="5"/>
  <c r="H359" i="5"/>
  <c r="H358" i="5"/>
  <c r="H357" i="5"/>
  <c r="H356" i="5"/>
  <c r="H355" i="5"/>
  <c r="H354" i="5"/>
  <c r="H352" i="5"/>
  <c r="H351" i="5"/>
  <c r="H348" i="5"/>
  <c r="H347" i="5"/>
  <c r="H345" i="5"/>
  <c r="H344" i="5"/>
  <c r="H343" i="5"/>
  <c r="D341" i="5"/>
  <c r="H341" i="5" s="1"/>
  <c r="D340" i="5"/>
  <c r="H340" i="5" s="1"/>
  <c r="D339" i="5"/>
  <c r="H339" i="5" s="1"/>
  <c r="H338" i="5"/>
  <c r="H335" i="5"/>
  <c r="H334" i="5"/>
  <c r="H332" i="5"/>
  <c r="E331" i="5"/>
  <c r="H331" i="5" s="1"/>
  <c r="E330" i="5"/>
  <c r="H330" i="5" s="1"/>
  <c r="H327" i="5"/>
  <c r="H326" i="5"/>
  <c r="H325" i="5"/>
  <c r="H324" i="5"/>
  <c r="H323" i="5"/>
  <c r="H322" i="5"/>
  <c r="H320" i="5"/>
  <c r="H312" i="5"/>
  <c r="H311" i="5"/>
  <c r="H310" i="5"/>
  <c r="H308" i="5"/>
  <c r="H307" i="5"/>
  <c r="H306" i="5"/>
  <c r="H304" i="5"/>
  <c r="H303" i="5"/>
  <c r="H301" i="5"/>
  <c r="H300" i="5"/>
  <c r="H299" i="5"/>
  <c r="H296" i="5"/>
  <c r="H295" i="5"/>
  <c r="H294" i="5"/>
  <c r="H292" i="5"/>
  <c r="H291" i="5"/>
  <c r="H290" i="5"/>
  <c r="H289" i="5"/>
  <c r="H288" i="5"/>
  <c r="S92" i="1" s="1"/>
  <c r="U92" i="1" s="1"/>
  <c r="H242" i="5"/>
  <c r="H241" i="5"/>
  <c r="H239" i="5"/>
  <c r="H238" i="5"/>
  <c r="H237" i="5"/>
  <c r="D231" i="5"/>
  <c r="H231" i="5" s="1"/>
  <c r="H229" i="5"/>
  <c r="H228" i="5"/>
  <c r="H227" i="5"/>
  <c r="H226" i="5"/>
  <c r="H224" i="5"/>
  <c r="H223" i="5"/>
  <c r="H222" i="5"/>
  <c r="H220" i="5"/>
  <c r="H219" i="5"/>
  <c r="H217" i="5"/>
  <c r="H216" i="5"/>
  <c r="H215" i="5"/>
  <c r="H213" i="5"/>
  <c r="H212" i="5"/>
  <c r="H211" i="5"/>
  <c r="H210" i="5"/>
  <c r="H209" i="5"/>
  <c r="H208" i="5"/>
  <c r="H207" i="5"/>
  <c r="H205" i="5"/>
  <c r="H204" i="5"/>
  <c r="H202" i="5"/>
  <c r="H200" i="5"/>
  <c r="H197" i="5"/>
  <c r="D196" i="5"/>
  <c r="H196" i="5" s="1"/>
  <c r="D194" i="5"/>
  <c r="H194" i="5" s="1"/>
  <c r="H193" i="5"/>
  <c r="D191" i="5"/>
  <c r="H191" i="5" s="1"/>
  <c r="E190" i="5"/>
  <c r="D190" i="5"/>
  <c r="E189" i="5"/>
  <c r="D189" i="5"/>
  <c r="E188" i="5"/>
  <c r="D188" i="5"/>
  <c r="E187" i="5"/>
  <c r="D187" i="5"/>
  <c r="H181" i="5"/>
  <c r="K181" i="5" s="1"/>
  <c r="H180" i="5"/>
  <c r="K180" i="5" s="1"/>
  <c r="H179" i="5"/>
  <c r="K179" i="5" s="1"/>
  <c r="H178" i="5"/>
  <c r="K178" i="5" s="1"/>
  <c r="H177" i="5"/>
  <c r="K177" i="5" s="1"/>
  <c r="H173" i="5"/>
  <c r="H170" i="5"/>
  <c r="H169" i="5"/>
  <c r="D168" i="5"/>
  <c r="H168" i="5" s="1"/>
  <c r="D167" i="5"/>
  <c r="H167" i="5" s="1"/>
  <c r="H166" i="5"/>
  <c r="H165" i="5"/>
  <c r="H164" i="5"/>
  <c r="H163" i="5"/>
  <c r="H162" i="5"/>
  <c r="H161" i="5"/>
  <c r="H160" i="5"/>
  <c r="H159" i="5"/>
  <c r="H158" i="5"/>
  <c r="H157" i="5"/>
  <c r="H156" i="5"/>
  <c r="H154" i="5"/>
  <c r="H153" i="5"/>
  <c r="H151" i="5"/>
  <c r="H150" i="5"/>
  <c r="H148" i="5"/>
  <c r="H147" i="5"/>
  <c r="H145" i="5"/>
  <c r="H144" i="5"/>
  <c r="H143" i="5"/>
  <c r="H141" i="5"/>
  <c r="H140" i="5"/>
  <c r="H139" i="5"/>
  <c r="H138" i="5"/>
  <c r="H137" i="5"/>
  <c r="H136" i="5"/>
  <c r="H134" i="5"/>
  <c r="H133" i="5"/>
  <c r="H131" i="5"/>
  <c r="H130" i="5"/>
  <c r="H128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3" i="5"/>
  <c r="H102" i="5"/>
  <c r="H101" i="5"/>
  <c r="H100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6" i="5"/>
  <c r="H35" i="5"/>
  <c r="H34" i="5"/>
  <c r="H33" i="5"/>
  <c r="H32" i="5"/>
  <c r="H31" i="5"/>
  <c r="H30" i="5"/>
  <c r="H29" i="5"/>
  <c r="H28" i="5"/>
  <c r="H27" i="5"/>
  <c r="H26" i="5"/>
  <c r="H25" i="5"/>
  <c r="H23" i="5"/>
  <c r="H22" i="5"/>
  <c r="H21" i="5"/>
  <c r="H20" i="5"/>
  <c r="H19" i="5"/>
  <c r="H18" i="5"/>
  <c r="H17" i="5"/>
  <c r="H16" i="5"/>
  <c r="H15" i="5"/>
  <c r="H14" i="5"/>
  <c r="F13" i="5"/>
  <c r="H13" i="5" s="1"/>
  <c r="H11" i="5"/>
  <c r="H10" i="5"/>
  <c r="D9" i="9" s="1"/>
  <c r="D9" i="5"/>
  <c r="H9" i="5" s="1"/>
  <c r="D8" i="9" s="1"/>
  <c r="D10" i="9" l="1"/>
  <c r="S129" i="1"/>
  <c r="U129" i="1" s="1"/>
  <c r="D12" i="9"/>
  <c r="S131" i="1"/>
  <c r="H132" i="5"/>
  <c r="K62" i="1"/>
  <c r="S62" i="1"/>
  <c r="K67" i="1"/>
  <c r="S67" i="1"/>
  <c r="K99" i="1"/>
  <c r="S99" i="1"/>
  <c r="K126" i="1"/>
  <c r="S126" i="1"/>
  <c r="S68" i="1"/>
  <c r="K68" i="1"/>
  <c r="H146" i="5"/>
  <c r="K92" i="1"/>
  <c r="K115" i="1"/>
  <c r="M115" i="1" s="1"/>
  <c r="S115" i="1"/>
  <c r="U115" i="1" s="1"/>
  <c r="S36" i="1"/>
  <c r="K36" i="1"/>
  <c r="K96" i="1"/>
  <c r="S96" i="1"/>
  <c r="S101" i="1"/>
  <c r="K101" i="1"/>
  <c r="S64" i="1"/>
  <c r="K64" i="1"/>
  <c r="K35" i="1"/>
  <c r="M35" i="1" s="1"/>
  <c r="S35" i="1"/>
  <c r="U35" i="1" s="1"/>
  <c r="S117" i="1"/>
  <c r="K117" i="1"/>
  <c r="S122" i="1"/>
  <c r="K122" i="1"/>
  <c r="D19" i="9"/>
  <c r="K15" i="1"/>
  <c r="S15" i="1"/>
  <c r="K19" i="1"/>
  <c r="S19" i="1"/>
  <c r="K118" i="1"/>
  <c r="S118" i="1"/>
  <c r="D13" i="9"/>
  <c r="K9" i="1"/>
  <c r="S9" i="1"/>
  <c r="K37" i="1"/>
  <c r="S37" i="1"/>
  <c r="K104" i="1"/>
  <c r="S104" i="1"/>
  <c r="K113" i="1"/>
  <c r="M113" i="1" s="1"/>
  <c r="S113" i="1"/>
  <c r="U113" i="1" s="1"/>
  <c r="S107" i="1"/>
  <c r="K107" i="1"/>
  <c r="K124" i="1"/>
  <c r="S124" i="1"/>
  <c r="H176" i="5"/>
  <c r="D26" i="9"/>
  <c r="D32" i="9"/>
  <c r="D41" i="9"/>
  <c r="D79" i="9"/>
  <c r="D81" i="9"/>
  <c r="D84" i="9"/>
  <c r="D109" i="9"/>
  <c r="D116" i="9"/>
  <c r="D121" i="9"/>
  <c r="F113" i="1"/>
  <c r="D130" i="9"/>
  <c r="F130" i="9" s="1"/>
  <c r="D124" i="9"/>
  <c r="D141" i="9"/>
  <c r="D143" i="9"/>
  <c r="D39" i="9"/>
  <c r="D85" i="9"/>
  <c r="D113" i="9"/>
  <c r="D118" i="9"/>
  <c r="D132" i="9"/>
  <c r="D134" i="9"/>
  <c r="D135" i="9"/>
  <c r="D139" i="9"/>
  <c r="D40" i="9"/>
  <c r="F1323" i="3"/>
  <c r="F1327" i="3"/>
  <c r="F1344" i="3"/>
  <c r="F1348" i="3"/>
  <c r="H236" i="5"/>
  <c r="F1428" i="3"/>
  <c r="F1424" i="3"/>
  <c r="F1402" i="3"/>
  <c r="F1398" i="3"/>
  <c r="F1376" i="3"/>
  <c r="F1372" i="3"/>
  <c r="H198" i="5"/>
  <c r="H319" i="5"/>
  <c r="H37" i="5"/>
  <c r="H60" i="5"/>
  <c r="H99" i="5"/>
  <c r="H104" i="5"/>
  <c r="H127" i="5"/>
  <c r="H149" i="5"/>
  <c r="H152" i="5"/>
  <c r="H155" i="5"/>
  <c r="H206" i="5"/>
  <c r="H214" i="5"/>
  <c r="H221" i="5"/>
  <c r="H225" i="5"/>
  <c r="H230" i="5"/>
  <c r="H240" i="5"/>
  <c r="H293" i="5"/>
  <c r="H297" i="5"/>
  <c r="H309" i="5"/>
  <c r="H333" i="5"/>
  <c r="H346" i="5"/>
  <c r="H353" i="5"/>
  <c r="S116" i="1" s="1"/>
  <c r="U116" i="1" s="1"/>
  <c r="H360" i="5"/>
  <c r="H363" i="5"/>
  <c r="H24" i="5"/>
  <c r="H135" i="5"/>
  <c r="H142" i="5"/>
  <c r="H187" i="5"/>
  <c r="H188" i="5"/>
  <c r="H189" i="5"/>
  <c r="H190" i="5"/>
  <c r="H195" i="5"/>
  <c r="H218" i="5"/>
  <c r="H302" i="5"/>
  <c r="H305" i="5"/>
  <c r="H313" i="5"/>
  <c r="H328" i="5"/>
  <c r="H336" i="5"/>
  <c r="H245" i="5"/>
  <c r="H171" i="5"/>
  <c r="H342" i="5"/>
  <c r="K112" i="1" l="1"/>
  <c r="S112" i="1"/>
  <c r="U112" i="1" s="1"/>
  <c r="S93" i="1"/>
  <c r="K93" i="1"/>
  <c r="K66" i="1"/>
  <c r="S66" i="1"/>
  <c r="K69" i="1"/>
  <c r="S69" i="1"/>
  <c r="S63" i="1"/>
  <c r="K63" i="1"/>
  <c r="K116" i="1"/>
  <c r="K61" i="1"/>
  <c r="S61" i="1"/>
  <c r="K17" i="1"/>
  <c r="S17" i="1"/>
  <c r="K94" i="1"/>
  <c r="S94" i="1"/>
  <c r="K103" i="1"/>
  <c r="S103" i="1"/>
  <c r="S59" i="1"/>
  <c r="K59" i="1"/>
  <c r="S24" i="1"/>
  <c r="K24" i="1"/>
  <c r="S26" i="1"/>
  <c r="K26" i="1"/>
  <c r="K23" i="1"/>
  <c r="S23" i="1"/>
  <c r="K119" i="1"/>
  <c r="S119" i="1"/>
  <c r="K114" i="1"/>
  <c r="K60" i="1"/>
  <c r="S60" i="1"/>
  <c r="S16" i="1"/>
  <c r="K16" i="1"/>
  <c r="K22" i="1"/>
  <c r="S22" i="1"/>
  <c r="K97" i="1"/>
  <c r="S97" i="1"/>
  <c r="S25" i="1"/>
  <c r="H403" i="3" s="1"/>
  <c r="K25" i="1"/>
  <c r="S120" i="1"/>
  <c r="K120" i="1"/>
  <c r="K18" i="1"/>
  <c r="M18" i="1" s="1"/>
  <c r="S18" i="1"/>
  <c r="U18" i="1" s="1"/>
  <c r="K110" i="1"/>
  <c r="S110" i="1"/>
  <c r="K106" i="1"/>
  <c r="S106" i="1"/>
  <c r="S102" i="1"/>
  <c r="K102" i="1"/>
  <c r="K58" i="1"/>
  <c r="S58" i="1"/>
  <c r="S20" i="1"/>
  <c r="U20" i="1" s="1"/>
  <c r="K20" i="1"/>
  <c r="M20" i="1" s="1"/>
  <c r="K65" i="1"/>
  <c r="S65" i="1"/>
  <c r="H827" i="3" s="1"/>
  <c r="K10" i="1"/>
  <c r="S10" i="1"/>
  <c r="K33" i="1"/>
  <c r="S33" i="1"/>
  <c r="S32" i="1"/>
  <c r="K32" i="1"/>
  <c r="H192" i="5"/>
  <c r="D35" i="9" s="1"/>
  <c r="K109" i="1"/>
  <c r="S109" i="1"/>
  <c r="K12" i="1"/>
  <c r="S12" i="1"/>
  <c r="K98" i="1"/>
  <c r="S98" i="1"/>
  <c r="K21" i="1"/>
  <c r="S21" i="1"/>
  <c r="K100" i="1"/>
  <c r="S100" i="1"/>
  <c r="K57" i="1"/>
  <c r="S57" i="1"/>
  <c r="S11" i="1"/>
  <c r="K11" i="1"/>
  <c r="D123" i="9"/>
  <c r="D24" i="9"/>
  <c r="D137" i="9"/>
  <c r="D133" i="9"/>
  <c r="D126" i="9"/>
  <c r="D111" i="9"/>
  <c r="D83" i="9"/>
  <c r="D78" i="9"/>
  <c r="D75" i="9"/>
  <c r="D29" i="9"/>
  <c r="D27" i="9"/>
  <c r="D22" i="9"/>
  <c r="F22" i="9" s="1"/>
  <c r="D20" i="9"/>
  <c r="D15" i="9"/>
  <c r="D37" i="9"/>
  <c r="D129" i="9"/>
  <c r="D86" i="9"/>
  <c r="D115" i="9"/>
  <c r="D76" i="9"/>
  <c r="D30" i="9"/>
  <c r="D127" i="9"/>
  <c r="D119" i="9"/>
  <c r="D114" i="9"/>
  <c r="D36" i="9"/>
  <c r="D25" i="9"/>
  <c r="D14" i="9"/>
  <c r="D136" i="9"/>
  <c r="D131" i="9"/>
  <c r="D117" i="9"/>
  <c r="D110" i="9"/>
  <c r="D80" i="9"/>
  <c r="D77" i="9"/>
  <c r="D74" i="9"/>
  <c r="D28" i="9"/>
  <c r="D23" i="9"/>
  <c r="D21" i="9"/>
  <c r="D16" i="9"/>
  <c r="D120" i="9"/>
  <c r="D82" i="9"/>
  <c r="F1332" i="3"/>
  <c r="F1433" i="3"/>
  <c r="F1353" i="3"/>
  <c r="F1407" i="3"/>
  <c r="F1381" i="3"/>
  <c r="F933" i="3"/>
  <c r="F929" i="3"/>
  <c r="T90" i="1" l="1"/>
  <c r="U90" i="1" s="1"/>
  <c r="L90" i="1"/>
  <c r="M90" i="1" s="1"/>
  <c r="L89" i="1"/>
  <c r="M89" i="1" s="1"/>
  <c r="T89" i="1"/>
  <c r="U89" i="1" s="1"/>
  <c r="L87" i="1"/>
  <c r="M87" i="1" s="1"/>
  <c r="T87" i="1"/>
  <c r="U87" i="1" s="1"/>
  <c r="L88" i="1"/>
  <c r="M88" i="1" s="1"/>
  <c r="T88" i="1"/>
  <c r="U88" i="1" s="1"/>
  <c r="L86" i="1"/>
  <c r="M86" i="1" s="1"/>
  <c r="T86" i="1"/>
  <c r="U86" i="1" s="1"/>
  <c r="C835" i="3"/>
  <c r="C834" i="3"/>
  <c r="S31" i="1"/>
  <c r="K31" i="1"/>
  <c r="I407" i="3"/>
  <c r="I415" i="3"/>
  <c r="I411" i="3"/>
  <c r="I418" i="3"/>
  <c r="I410" i="3"/>
  <c r="F90" i="1"/>
  <c r="E107" i="9"/>
  <c r="F107" i="9" s="1"/>
  <c r="F89" i="1"/>
  <c r="E106" i="9"/>
  <c r="F106" i="9" s="1"/>
  <c r="F88" i="1"/>
  <c r="E105" i="9"/>
  <c r="F105" i="9" s="1"/>
  <c r="F87" i="1"/>
  <c r="E104" i="9"/>
  <c r="F104" i="9" s="1"/>
  <c r="F86" i="1"/>
  <c r="E103" i="9"/>
  <c r="F103" i="9" s="1"/>
  <c r="F938" i="3"/>
  <c r="L69" i="1" l="1"/>
  <c r="M69" i="1" s="1"/>
  <c r="T69" i="1"/>
  <c r="U69" i="1" s="1"/>
  <c r="I420" i="3"/>
  <c r="H420" i="3" s="1"/>
  <c r="F69" i="1"/>
  <c r="E86" i="9"/>
  <c r="F86" i="9" s="1"/>
  <c r="F442" i="3"/>
  <c r="F288" i="3"/>
  <c r="F243" i="3"/>
  <c r="F454" i="3"/>
  <c r="G456" i="3" s="1"/>
  <c r="L26" i="1" l="1"/>
  <c r="M26" i="1" s="1"/>
  <c r="T26" i="1"/>
  <c r="U26" i="1" s="1"/>
  <c r="L17" i="1"/>
  <c r="M17" i="1" s="1"/>
  <c r="T17" i="1"/>
  <c r="U17" i="1" s="1"/>
  <c r="E23" i="9"/>
  <c r="F23" i="9" s="1"/>
  <c r="T19" i="1"/>
  <c r="U19" i="1" s="1"/>
  <c r="L19" i="1"/>
  <c r="M19" i="1" s="1"/>
  <c r="E21" i="9"/>
  <c r="F21" i="9" s="1"/>
  <c r="F26" i="1"/>
  <c r="E30" i="9"/>
  <c r="F30" i="9" s="1"/>
  <c r="F614" i="3"/>
  <c r="F615" i="3"/>
  <c r="F592" i="3"/>
  <c r="F593" i="3"/>
  <c r="F591" i="3"/>
  <c r="G594" i="3" l="1"/>
  <c r="F596" i="3"/>
  <c r="G616" i="3"/>
  <c r="F622" i="3" s="1"/>
  <c r="F600" i="3"/>
  <c r="F605" i="3" s="1"/>
  <c r="E40" i="9" l="1"/>
  <c r="F40" i="9" s="1"/>
  <c r="L36" i="1"/>
  <c r="M36" i="1" s="1"/>
  <c r="T36" i="1"/>
  <c r="U36" i="1" s="1"/>
  <c r="F1685" i="3"/>
  <c r="F1681" i="3"/>
  <c r="F618" i="3"/>
  <c r="F627" i="3" s="1"/>
  <c r="L37" i="1" l="1"/>
  <c r="M37" i="1" s="1"/>
  <c r="T37" i="1"/>
  <c r="U37" i="1" s="1"/>
  <c r="F1690" i="3"/>
  <c r="F37" i="1"/>
  <c r="E41" i="9"/>
  <c r="F41" i="9" s="1"/>
  <c r="B1547" i="3"/>
  <c r="F1547" i="3" s="1"/>
  <c r="B1631" i="3"/>
  <c r="J880" i="3"/>
  <c r="J877" i="3"/>
  <c r="J878" i="3" s="1"/>
  <c r="L104" i="1" l="1"/>
  <c r="M104" i="1" s="1"/>
  <c r="T104" i="1"/>
  <c r="U104" i="1" s="1"/>
  <c r="E121" i="9"/>
  <c r="F121" i="9" s="1"/>
  <c r="F1631" i="3"/>
  <c r="G1632" i="3" s="1"/>
  <c r="F104" i="1"/>
  <c r="G901" i="3"/>
  <c r="G1781" i="3"/>
  <c r="F1787" i="3" s="1"/>
  <c r="G1805" i="3"/>
  <c r="F1807" i="3" s="1"/>
  <c r="G1655" i="3"/>
  <c r="F1657" i="3" s="1"/>
  <c r="F1783" i="3" l="1"/>
  <c r="F1793" i="3" s="1"/>
  <c r="F907" i="3"/>
  <c r="F903" i="3"/>
  <c r="F1661" i="3"/>
  <c r="F2060" i="3"/>
  <c r="F1012" i="3"/>
  <c r="F1011" i="3"/>
  <c r="F1009" i="3"/>
  <c r="F1007" i="3"/>
  <c r="F1006" i="3"/>
  <c r="F1037" i="3"/>
  <c r="F1036" i="3"/>
  <c r="F1035" i="3"/>
  <c r="F1034" i="3"/>
  <c r="F1033" i="3"/>
  <c r="F1061" i="3"/>
  <c r="F1060" i="3"/>
  <c r="F1059" i="3"/>
  <c r="F1058" i="3"/>
  <c r="F1057" i="3"/>
  <c r="F1089" i="3"/>
  <c r="F1088" i="3"/>
  <c r="F1086" i="3"/>
  <c r="F1085" i="3"/>
  <c r="F1084" i="3"/>
  <c r="F1083" i="3"/>
  <c r="F1087" i="3"/>
  <c r="B1082" i="3"/>
  <c r="F1082" i="3" s="1"/>
  <c r="E126" i="9" l="1"/>
  <c r="F126" i="9" s="1"/>
  <c r="T109" i="1"/>
  <c r="U109" i="1" s="1"/>
  <c r="L109" i="1"/>
  <c r="M109" i="1" s="1"/>
  <c r="F1811" i="3"/>
  <c r="F1816" i="3" s="1"/>
  <c r="G1729" i="3"/>
  <c r="F1734" i="3" s="1"/>
  <c r="G1757" i="3"/>
  <c r="F1759" i="3" s="1"/>
  <c r="F912" i="3"/>
  <c r="F1666" i="3"/>
  <c r="G1090" i="3"/>
  <c r="C1299" i="3"/>
  <c r="F1299" i="3" s="1"/>
  <c r="C1298" i="3"/>
  <c r="F1298" i="3" s="1"/>
  <c r="C1297" i="3"/>
  <c r="F1297" i="3" s="1"/>
  <c r="B2020" i="3"/>
  <c r="F2020" i="3" s="1"/>
  <c r="C1254" i="3"/>
  <c r="F1254" i="3" s="1"/>
  <c r="C1253" i="3"/>
  <c r="F1253" i="3" s="1"/>
  <c r="C1249" i="3"/>
  <c r="F1249" i="3" s="1"/>
  <c r="T103" i="1" l="1"/>
  <c r="U103" i="1" s="1"/>
  <c r="L103" i="1"/>
  <c r="M103" i="1" s="1"/>
  <c r="L68" i="1"/>
  <c r="M68" i="1" s="1"/>
  <c r="T68" i="1"/>
  <c r="U68" i="1" s="1"/>
  <c r="E127" i="9"/>
  <c r="F127" i="9" s="1"/>
  <c r="L110" i="1"/>
  <c r="M110" i="1" s="1"/>
  <c r="T110" i="1"/>
  <c r="U110" i="1" s="1"/>
  <c r="F103" i="1"/>
  <c r="E120" i="9"/>
  <c r="F120" i="9" s="1"/>
  <c r="F68" i="1"/>
  <c r="E85" i="9"/>
  <c r="F85" i="9" s="1"/>
  <c r="G1300" i="3"/>
  <c r="F1306" i="3" s="1"/>
  <c r="G2021" i="3"/>
  <c r="G1277" i="3"/>
  <c r="F1762" i="3" l="1"/>
  <c r="F1767" i="3" s="1"/>
  <c r="F1731" i="3"/>
  <c r="F1739" i="3" s="1"/>
  <c r="F1096" i="3"/>
  <c r="F1092" i="3"/>
  <c r="F2026" i="3"/>
  <c r="F2023" i="3"/>
  <c r="F1283" i="3"/>
  <c r="F1279" i="3"/>
  <c r="L107" i="1" l="1"/>
  <c r="M107" i="1" s="1"/>
  <c r="T107" i="1"/>
  <c r="U107" i="1" s="1"/>
  <c r="F107" i="1"/>
  <c r="E124" i="9"/>
  <c r="F124" i="9" s="1"/>
  <c r="F1302" i="3"/>
  <c r="F1311" i="3" s="1"/>
  <c r="F2031" i="3"/>
  <c r="F1101" i="3"/>
  <c r="F1288" i="3"/>
  <c r="T76" i="1" l="1"/>
  <c r="U76" i="1" s="1"/>
  <c r="L76" i="1"/>
  <c r="L120" i="1"/>
  <c r="M120" i="1" s="1"/>
  <c r="T120" i="1"/>
  <c r="U120" i="1" s="1"/>
  <c r="L84" i="1"/>
  <c r="M84" i="1" s="1"/>
  <c r="T84" i="1"/>
  <c r="U84" i="1" s="1"/>
  <c r="L85" i="1"/>
  <c r="M85" i="1" s="1"/>
  <c r="T85" i="1"/>
  <c r="U85" i="1" s="1"/>
  <c r="F85" i="1"/>
  <c r="E102" i="9"/>
  <c r="F102" i="9" s="1"/>
  <c r="F76" i="1"/>
  <c r="E93" i="9"/>
  <c r="F93" i="9" s="1"/>
  <c r="F84" i="1"/>
  <c r="E101" i="9"/>
  <c r="F101" i="9" s="1"/>
  <c r="F120" i="1"/>
  <c r="E137" i="9"/>
  <c r="F137" i="9" s="1"/>
  <c r="F1264" i="3"/>
  <c r="F420" i="3"/>
  <c r="L25" i="1" l="1"/>
  <c r="M25" i="1" s="1"/>
  <c r="T25" i="1"/>
  <c r="U25" i="1" s="1"/>
  <c r="F25" i="1"/>
  <c r="E29" i="9"/>
  <c r="F29" i="9" s="1"/>
  <c r="G1255" i="3"/>
  <c r="G1486" i="3"/>
  <c r="F1261" i="3" l="1"/>
  <c r="F1492" i="3"/>
  <c r="F1488" i="3"/>
  <c r="G2000" i="3"/>
  <c r="F2005" i="3" s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144" i="1"/>
  <c r="F143" i="1"/>
  <c r="F133" i="1"/>
  <c r="F134" i="1"/>
  <c r="F135" i="1"/>
  <c r="F136" i="1"/>
  <c r="F137" i="1"/>
  <c r="F138" i="1"/>
  <c r="F139" i="1"/>
  <c r="F140" i="1"/>
  <c r="F141" i="1"/>
  <c r="F142" i="1"/>
  <c r="F132" i="1"/>
  <c r="G856" i="3"/>
  <c r="B344" i="3"/>
  <c r="F344" i="3" s="1"/>
  <c r="G345" i="3" s="1"/>
  <c r="F348" i="3" s="1"/>
  <c r="F399" i="3"/>
  <c r="F1922" i="3"/>
  <c r="F1900" i="3"/>
  <c r="F1899" i="3"/>
  <c r="F1877" i="3"/>
  <c r="F1876" i="3"/>
  <c r="G1828" i="3"/>
  <c r="F1830" i="3" s="1"/>
  <c r="F1638" i="3"/>
  <c r="G1591" i="3"/>
  <c r="G1570" i="3"/>
  <c r="F1576" i="3" s="1"/>
  <c r="G1549" i="3"/>
  <c r="F1551" i="3" s="1"/>
  <c r="G1507" i="3"/>
  <c r="F1513" i="3" s="1"/>
  <c r="G1464" i="3"/>
  <c r="F1466" i="3" s="1"/>
  <c r="F1475" i="3" s="1"/>
  <c r="G1444" i="3"/>
  <c r="F1450" i="3" s="1"/>
  <c r="B1229" i="3"/>
  <c r="F1229" i="3" s="1"/>
  <c r="B1228" i="3"/>
  <c r="F1228" i="3" s="1"/>
  <c r="B1227" i="3"/>
  <c r="F1227" i="3" s="1"/>
  <c r="F1224" i="3"/>
  <c r="B1204" i="3"/>
  <c r="F1204" i="3" s="1"/>
  <c r="B1203" i="3"/>
  <c r="F1203" i="3" s="1"/>
  <c r="B1202" i="3"/>
  <c r="F1202" i="3" s="1"/>
  <c r="B1199" i="3"/>
  <c r="F1199" i="3" s="1"/>
  <c r="B1179" i="3"/>
  <c r="F1179" i="3" s="1"/>
  <c r="F1178" i="3"/>
  <c r="B1177" i="3"/>
  <c r="F1177" i="3" s="1"/>
  <c r="F1176" i="3"/>
  <c r="F1175" i="3"/>
  <c r="B1174" i="3"/>
  <c r="F1174" i="3" s="1"/>
  <c r="B1013" i="3"/>
  <c r="F1013" i="3" s="1"/>
  <c r="B1010" i="3"/>
  <c r="F1010" i="3" s="1"/>
  <c r="B1008" i="3"/>
  <c r="F1008" i="3" s="1"/>
  <c r="B1005" i="3"/>
  <c r="F1005" i="3" s="1"/>
  <c r="B1004" i="3"/>
  <c r="F1004" i="3" s="1"/>
  <c r="B984" i="3"/>
  <c r="F984" i="3" s="1"/>
  <c r="B983" i="3"/>
  <c r="F983" i="3" s="1"/>
  <c r="B982" i="3"/>
  <c r="F982" i="3" s="1"/>
  <c r="B981" i="3"/>
  <c r="F981" i="3" s="1"/>
  <c r="F980" i="3"/>
  <c r="F979" i="3"/>
  <c r="F978" i="3"/>
  <c r="B977" i="3"/>
  <c r="F977" i="3" s="1"/>
  <c r="B957" i="3"/>
  <c r="F957" i="3" s="1"/>
  <c r="B956" i="3"/>
  <c r="F956" i="3" s="1"/>
  <c r="B955" i="3"/>
  <c r="F955" i="3" s="1"/>
  <c r="B954" i="3"/>
  <c r="F954" i="3" s="1"/>
  <c r="F953" i="3"/>
  <c r="F952" i="3"/>
  <c r="F951" i="3"/>
  <c r="B950" i="3"/>
  <c r="F950" i="3" s="1"/>
  <c r="F835" i="3"/>
  <c r="B834" i="3"/>
  <c r="F834" i="3" s="1"/>
  <c r="F831" i="3"/>
  <c r="B811" i="3"/>
  <c r="F811" i="3" s="1"/>
  <c r="B808" i="3"/>
  <c r="F808" i="3" s="1"/>
  <c r="B788" i="3"/>
  <c r="F788" i="3" s="1"/>
  <c r="B787" i="3"/>
  <c r="F787" i="3" s="1"/>
  <c r="B784" i="3"/>
  <c r="F784" i="3" s="1"/>
  <c r="B764" i="3"/>
  <c r="F764" i="3" s="1"/>
  <c r="B763" i="3"/>
  <c r="F763" i="3" s="1"/>
  <c r="B760" i="3"/>
  <c r="F760" i="3" s="1"/>
  <c r="B759" i="3"/>
  <c r="F759" i="3" s="1"/>
  <c r="B739" i="3"/>
  <c r="F739" i="3" s="1"/>
  <c r="B738" i="3"/>
  <c r="F738" i="3" s="1"/>
  <c r="B735" i="3"/>
  <c r="F735" i="3" s="1"/>
  <c r="B734" i="3"/>
  <c r="F734" i="3" s="1"/>
  <c r="B714" i="3"/>
  <c r="F714" i="3" s="1"/>
  <c r="B713" i="3"/>
  <c r="F713" i="3" s="1"/>
  <c r="B710" i="3"/>
  <c r="F710" i="3" s="1"/>
  <c r="B709" i="3"/>
  <c r="F709" i="3" s="1"/>
  <c r="B689" i="3"/>
  <c r="F689" i="3" s="1"/>
  <c r="B688" i="3"/>
  <c r="F688" i="3" s="1"/>
  <c r="B685" i="3"/>
  <c r="F685" i="3" s="1"/>
  <c r="B684" i="3"/>
  <c r="F684" i="3" s="1"/>
  <c r="B664" i="3"/>
  <c r="F664" i="3" s="1"/>
  <c r="F661" i="3"/>
  <c r="F648" i="3"/>
  <c r="F36" i="1"/>
  <c r="F553" i="3"/>
  <c r="F488" i="3"/>
  <c r="F467" i="3"/>
  <c r="F378" i="3"/>
  <c r="B321" i="3"/>
  <c r="F19" i="1"/>
  <c r="F18" i="1"/>
  <c r="F221" i="3"/>
  <c r="F199" i="3"/>
  <c r="F155" i="3"/>
  <c r="F133" i="3"/>
  <c r="F111" i="3"/>
  <c r="C81" i="3"/>
  <c r="F81" i="3" s="1"/>
  <c r="B75" i="3"/>
  <c r="F75" i="3" s="1"/>
  <c r="G77" i="3" s="1"/>
  <c r="F58" i="3"/>
  <c r="F67" i="3" s="1"/>
  <c r="T131" i="1" s="1"/>
  <c r="U131" i="1" s="1"/>
  <c r="F45" i="3"/>
  <c r="F23" i="3"/>
  <c r="L33" i="1" l="1"/>
  <c r="M33" i="1" s="1"/>
  <c r="T33" i="1"/>
  <c r="U33" i="1" s="1"/>
  <c r="L16" i="1"/>
  <c r="M16" i="1" s="1"/>
  <c r="T16" i="1"/>
  <c r="U16" i="1" s="1"/>
  <c r="L24" i="1"/>
  <c r="M24" i="1" s="1"/>
  <c r="T24" i="1"/>
  <c r="U24" i="1" s="1"/>
  <c r="L15" i="1"/>
  <c r="M15" i="1" s="1"/>
  <c r="T15" i="1"/>
  <c r="U15" i="1" s="1"/>
  <c r="L11" i="1"/>
  <c r="M11" i="1" s="1"/>
  <c r="T11" i="1"/>
  <c r="U11" i="1" s="1"/>
  <c r="T10" i="1"/>
  <c r="U10" i="1" s="1"/>
  <c r="L10" i="1"/>
  <c r="M10" i="1" s="1"/>
  <c r="L23" i="1"/>
  <c r="M23" i="1" s="1"/>
  <c r="T23" i="1"/>
  <c r="U23" i="1" s="1"/>
  <c r="L12" i="1"/>
  <c r="M12" i="1" s="1"/>
  <c r="T12" i="1"/>
  <c r="U12" i="1" s="1"/>
  <c r="T28" i="1"/>
  <c r="U28" i="1" s="1"/>
  <c r="L28" i="1"/>
  <c r="M28" i="1" s="1"/>
  <c r="L7" i="1"/>
  <c r="M7" i="1" s="1"/>
  <c r="T7" i="1"/>
  <c r="U7" i="1" s="1"/>
  <c r="L13" i="1"/>
  <c r="M13" i="1" s="1"/>
  <c r="T13" i="1"/>
  <c r="U13" i="1" s="1"/>
  <c r="L29" i="1"/>
  <c r="T29" i="1"/>
  <c r="L129" i="1"/>
  <c r="M129" i="1" s="1"/>
  <c r="V128" i="1" s="1"/>
  <c r="F12" i="1"/>
  <c r="E16" i="9"/>
  <c r="F16" i="9" s="1"/>
  <c r="F15" i="1"/>
  <c r="E19" i="9"/>
  <c r="F19" i="9" s="1"/>
  <c r="F20" i="1"/>
  <c r="E24" i="9"/>
  <c r="F24" i="9" s="1"/>
  <c r="F23" i="1"/>
  <c r="E27" i="9"/>
  <c r="F27" i="9" s="1"/>
  <c r="F29" i="1"/>
  <c r="E33" i="9"/>
  <c r="F35" i="1"/>
  <c r="E39" i="9"/>
  <c r="F39" i="9" s="1"/>
  <c r="E10" i="9"/>
  <c r="F10" i="9" s="1"/>
  <c r="F10" i="1"/>
  <c r="E14" i="9"/>
  <c r="F14" i="9" s="1"/>
  <c r="F7" i="1"/>
  <c r="E9" i="9"/>
  <c r="F9" i="9" s="1"/>
  <c r="E12" i="9"/>
  <c r="F12" i="9" s="1"/>
  <c r="F11" i="1"/>
  <c r="E15" i="9"/>
  <c r="F15" i="9" s="1"/>
  <c r="F13" i="1"/>
  <c r="E17" i="9"/>
  <c r="F17" i="9" s="1"/>
  <c r="F16" i="1"/>
  <c r="E20" i="9"/>
  <c r="F20" i="9" s="1"/>
  <c r="F321" i="3"/>
  <c r="G322" i="3" s="1"/>
  <c r="F28" i="1"/>
  <c r="E32" i="9"/>
  <c r="F32" i="9" s="1"/>
  <c r="F33" i="1"/>
  <c r="E37" i="9"/>
  <c r="F37" i="9" s="1"/>
  <c r="F24" i="1"/>
  <c r="E28" i="9"/>
  <c r="F28" i="9" s="1"/>
  <c r="F509" i="3"/>
  <c r="G1154" i="3"/>
  <c r="F1160" i="3" s="1"/>
  <c r="F1266" i="3"/>
  <c r="F1497" i="3"/>
  <c r="G1972" i="3"/>
  <c r="F1977" i="3" s="1"/>
  <c r="F1974" i="3"/>
  <c r="G1133" i="3"/>
  <c r="F1139" i="3" s="1"/>
  <c r="G1112" i="3"/>
  <c r="F1114" i="3" s="1"/>
  <c r="G1062" i="3"/>
  <c r="F1068" i="3" s="1"/>
  <c r="G1038" i="3"/>
  <c r="F1040" i="3" s="1"/>
  <c r="F862" i="3"/>
  <c r="F858" i="3"/>
  <c r="G1528" i="3"/>
  <c r="F1534" i="3" s="1"/>
  <c r="F357" i="3"/>
  <c r="F1597" i="3"/>
  <c r="F1593" i="3"/>
  <c r="G985" i="3"/>
  <c r="F991" i="3" s="1"/>
  <c r="G1180" i="3"/>
  <c r="F1182" i="3" s="1"/>
  <c r="G1230" i="3"/>
  <c r="F1236" i="3" s="1"/>
  <c r="F1711" i="3"/>
  <c r="F2097" i="3"/>
  <c r="G1880" i="3"/>
  <c r="G665" i="3"/>
  <c r="G765" i="3"/>
  <c r="G812" i="3"/>
  <c r="G1014" i="3"/>
  <c r="G1205" i="3"/>
  <c r="G740" i="3"/>
  <c r="G1903" i="3"/>
  <c r="F89" i="3"/>
  <c r="G690" i="3"/>
  <c r="G715" i="3"/>
  <c r="G836" i="3"/>
  <c r="G958" i="3"/>
  <c r="G1925" i="3"/>
  <c r="G789" i="3"/>
  <c r="F109" i="1"/>
  <c r="G1948" i="3"/>
  <c r="G2041" i="3"/>
  <c r="G2069" i="3"/>
  <c r="G1612" i="3"/>
  <c r="T94" i="1" l="1"/>
  <c r="U94" i="1" s="1"/>
  <c r="L94" i="1"/>
  <c r="M94" i="1" s="1"/>
  <c r="L32" i="1"/>
  <c r="M32" i="1" s="1"/>
  <c r="T32" i="1"/>
  <c r="U32" i="1" s="1"/>
  <c r="L31" i="1"/>
  <c r="M31" i="1" s="1"/>
  <c r="T31" i="1"/>
  <c r="U31" i="1" s="1"/>
  <c r="L83" i="1"/>
  <c r="M83" i="1" s="1"/>
  <c r="T83" i="1"/>
  <c r="U83" i="1" s="1"/>
  <c r="L126" i="1"/>
  <c r="M126" i="1" s="1"/>
  <c r="T126" i="1"/>
  <c r="U126" i="1" s="1"/>
  <c r="L9" i="1"/>
  <c r="M9" i="1" s="1"/>
  <c r="T9" i="1"/>
  <c r="U9" i="1" s="1"/>
  <c r="L22" i="1"/>
  <c r="M22" i="1" s="1"/>
  <c r="T22" i="1"/>
  <c r="U22" i="1" s="1"/>
  <c r="E36" i="9"/>
  <c r="F36" i="9" s="1"/>
  <c r="E35" i="9"/>
  <c r="F35" i="9" s="1"/>
  <c r="F31" i="1"/>
  <c r="F32" i="1"/>
  <c r="F9" i="1"/>
  <c r="E13" i="9"/>
  <c r="F13" i="9" s="1"/>
  <c r="F1446" i="3"/>
  <c r="F1455" i="3" s="1"/>
  <c r="L92" i="1" s="1"/>
  <c r="M92" i="1" s="1"/>
  <c r="F1470" i="3"/>
  <c r="F1555" i="3"/>
  <c r="F1560" i="3" s="1"/>
  <c r="E8" i="9"/>
  <c r="F8" i="9" s="1"/>
  <c r="F1834" i="3"/>
  <c r="F1839" i="3" s="1"/>
  <c r="L112" i="1" s="1"/>
  <c r="M112" i="1" s="1"/>
  <c r="F22" i="1"/>
  <c r="E26" i="9"/>
  <c r="F26" i="9" s="1"/>
  <c r="F83" i="1"/>
  <c r="E100" i="9"/>
  <c r="F100" i="9" s="1"/>
  <c r="F329" i="3"/>
  <c r="F325" i="3"/>
  <c r="F1634" i="3"/>
  <c r="F1643" i="3" s="1"/>
  <c r="F1572" i="3"/>
  <c r="F1581" i="3" s="1"/>
  <c r="F126" i="1"/>
  <c r="E143" i="9"/>
  <c r="F143" i="9" s="1"/>
  <c r="F1509" i="3"/>
  <c r="F1518" i="3" s="1"/>
  <c r="F94" i="1"/>
  <c r="E111" i="9"/>
  <c r="F111" i="9" s="1"/>
  <c r="F334" i="3"/>
  <c r="F644" i="3"/>
  <c r="F653" i="3" s="1"/>
  <c r="F2002" i="3"/>
  <c r="F2010" i="3" s="1"/>
  <c r="F1982" i="3"/>
  <c r="F867" i="3"/>
  <c r="F110" i="1"/>
  <c r="F1602" i="3"/>
  <c r="F2071" i="3"/>
  <c r="F2074" i="3"/>
  <c r="F791" i="3"/>
  <c r="F795" i="3"/>
  <c r="F1927" i="3"/>
  <c r="F1930" i="3"/>
  <c r="F964" i="3"/>
  <c r="F960" i="3"/>
  <c r="F1016" i="3"/>
  <c r="F1020" i="3"/>
  <c r="F671" i="3"/>
  <c r="F667" i="3"/>
  <c r="F1882" i="3"/>
  <c r="F1886" i="3"/>
  <c r="F2043" i="3"/>
  <c r="F2046" i="3"/>
  <c r="F692" i="3"/>
  <c r="F696" i="3"/>
  <c r="B1905" i="3"/>
  <c r="F1905" i="3" s="1"/>
  <c r="B1909" i="3"/>
  <c r="F1909" i="3" s="1"/>
  <c r="F814" i="3"/>
  <c r="F818" i="3"/>
  <c r="F1953" i="3"/>
  <c r="F1950" i="3"/>
  <c r="F842" i="3"/>
  <c r="F838" i="3"/>
  <c r="F746" i="3"/>
  <c r="F742" i="3"/>
  <c r="F1614" i="3"/>
  <c r="F1618" i="3"/>
  <c r="F717" i="3"/>
  <c r="F721" i="3"/>
  <c r="F1211" i="3"/>
  <c r="F1207" i="3"/>
  <c r="F771" i="3"/>
  <c r="F767" i="3"/>
  <c r="F847" i="3" l="1"/>
  <c r="L100" i="1"/>
  <c r="M100" i="1" s="1"/>
  <c r="T100" i="1"/>
  <c r="U100" i="1" s="1"/>
  <c r="L119" i="1"/>
  <c r="M119" i="1" s="1"/>
  <c r="T119" i="1"/>
  <c r="U119" i="1" s="1"/>
  <c r="T99" i="1"/>
  <c r="U99" i="1" s="1"/>
  <c r="L99" i="1"/>
  <c r="M99" i="1" s="1"/>
  <c r="T57" i="1"/>
  <c r="U57" i="1" s="1"/>
  <c r="L57" i="1"/>
  <c r="M57" i="1" s="1"/>
  <c r="L96" i="1"/>
  <c r="M96" i="1" s="1"/>
  <c r="T96" i="1"/>
  <c r="U96" i="1" s="1"/>
  <c r="L102" i="1"/>
  <c r="M102" i="1" s="1"/>
  <c r="T102" i="1"/>
  <c r="U102" i="1" s="1"/>
  <c r="L66" i="1"/>
  <c r="M66" i="1" s="1"/>
  <c r="T66" i="1"/>
  <c r="U66" i="1" s="1"/>
  <c r="L21" i="1"/>
  <c r="M21" i="1" s="1"/>
  <c r="T21" i="1"/>
  <c r="U21" i="1" s="1"/>
  <c r="L98" i="1"/>
  <c r="M98" i="1" s="1"/>
  <c r="T98" i="1"/>
  <c r="U98" i="1" s="1"/>
  <c r="L93" i="1"/>
  <c r="M93" i="1" s="1"/>
  <c r="T93" i="1"/>
  <c r="U93" i="1" s="1"/>
  <c r="T118" i="1"/>
  <c r="U118" i="1" s="1"/>
  <c r="L118" i="1"/>
  <c r="M118" i="1" s="1"/>
  <c r="F112" i="1"/>
  <c r="E129" i="9"/>
  <c r="F129" i="9" s="1"/>
  <c r="F93" i="1"/>
  <c r="E110" i="9"/>
  <c r="F110" i="9" s="1"/>
  <c r="F98" i="1"/>
  <c r="E115" i="9"/>
  <c r="F115" i="9" s="1"/>
  <c r="F92" i="1"/>
  <c r="E109" i="9"/>
  <c r="F109" i="9" s="1"/>
  <c r="F100" i="1"/>
  <c r="E117" i="9"/>
  <c r="F117" i="9" s="1"/>
  <c r="F1186" i="3"/>
  <c r="F1191" i="3" s="1"/>
  <c r="F987" i="3"/>
  <c r="F996" i="3" s="1"/>
  <c r="F1530" i="3"/>
  <c r="F1044" i="3"/>
  <c r="F1049" i="3" s="1"/>
  <c r="F118" i="1"/>
  <c r="E135" i="9"/>
  <c r="F135" i="9" s="1"/>
  <c r="F119" i="1"/>
  <c r="E136" i="9"/>
  <c r="F136" i="9" s="1"/>
  <c r="E25" i="9"/>
  <c r="F25" i="9" s="1"/>
  <c r="F96" i="1"/>
  <c r="E113" i="9"/>
  <c r="F113" i="9" s="1"/>
  <c r="F99" i="1"/>
  <c r="E116" i="9"/>
  <c r="F116" i="9" s="1"/>
  <c r="F102" i="1"/>
  <c r="E119" i="9"/>
  <c r="F119" i="9" s="1"/>
  <c r="F1232" i="3"/>
  <c r="F1241" i="3" s="1"/>
  <c r="F66" i="1"/>
  <c r="E83" i="9"/>
  <c r="F83" i="9" s="1"/>
  <c r="F1064" i="3"/>
  <c r="F1073" i="3" s="1"/>
  <c r="F1118" i="3"/>
  <c r="F1123" i="3" s="1"/>
  <c r="F1135" i="3"/>
  <c r="F1144" i="3" s="1"/>
  <c r="F57" i="1"/>
  <c r="E74" i="9"/>
  <c r="F74" i="9" s="1"/>
  <c r="F1156" i="3"/>
  <c r="F1165" i="3" s="1"/>
  <c r="E96" i="9" s="1"/>
  <c r="F96" i="9" s="1"/>
  <c r="F1707" i="3"/>
  <c r="F776" i="3"/>
  <c r="F751" i="3"/>
  <c r="F1958" i="3"/>
  <c r="F676" i="3"/>
  <c r="F1623" i="3"/>
  <c r="F823" i="3"/>
  <c r="F701" i="3"/>
  <c r="F1891" i="3"/>
  <c r="L114" i="1" s="1"/>
  <c r="M114" i="1" s="1"/>
  <c r="F1025" i="3"/>
  <c r="F1935" i="3"/>
  <c r="L116" i="1" s="1"/>
  <c r="M116" i="1" s="1"/>
  <c r="F2079" i="3"/>
  <c r="F800" i="3"/>
  <c r="F969" i="3"/>
  <c r="F726" i="3"/>
  <c r="F1914" i="3"/>
  <c r="F2051" i="3"/>
  <c r="F1216" i="3"/>
  <c r="T82" i="1" l="1"/>
  <c r="U82" i="1" s="1"/>
  <c r="L82" i="1"/>
  <c r="M82" i="1" s="1"/>
  <c r="L60" i="1"/>
  <c r="M60" i="1" s="1"/>
  <c r="T60" i="1"/>
  <c r="U60" i="1" s="1"/>
  <c r="L75" i="1"/>
  <c r="M75" i="1" s="1"/>
  <c r="T75" i="1"/>
  <c r="U75" i="1" s="1"/>
  <c r="L97" i="1"/>
  <c r="M97" i="1" s="1"/>
  <c r="T97" i="1"/>
  <c r="U97" i="1" s="1"/>
  <c r="L81" i="1"/>
  <c r="M81" i="1" s="1"/>
  <c r="T81" i="1"/>
  <c r="U81" i="1" s="1"/>
  <c r="L71" i="1"/>
  <c r="M71" i="1" s="1"/>
  <c r="T71" i="1"/>
  <c r="U71" i="1" s="1"/>
  <c r="T73" i="1"/>
  <c r="U73" i="1" s="1"/>
  <c r="L73" i="1"/>
  <c r="M73" i="1" s="1"/>
  <c r="T101" i="1"/>
  <c r="U101" i="1" s="1"/>
  <c r="L101" i="1"/>
  <c r="M101" i="1" s="1"/>
  <c r="L62" i="1"/>
  <c r="M62" i="1" s="1"/>
  <c r="T62" i="1"/>
  <c r="U62" i="1" s="1"/>
  <c r="L72" i="1"/>
  <c r="M72" i="1" s="1"/>
  <c r="T72" i="1"/>
  <c r="U72" i="1" s="1"/>
  <c r="L124" i="1"/>
  <c r="M124" i="1" s="1"/>
  <c r="T124" i="1"/>
  <c r="U124" i="1" s="1"/>
  <c r="L59" i="1"/>
  <c r="M59" i="1" s="1"/>
  <c r="T59" i="1"/>
  <c r="U59" i="1" s="1"/>
  <c r="L117" i="1"/>
  <c r="M117" i="1" s="1"/>
  <c r="T117" i="1"/>
  <c r="U117" i="1" s="1"/>
  <c r="L77" i="1"/>
  <c r="M77" i="1" s="1"/>
  <c r="T77" i="1"/>
  <c r="U77" i="1" s="1"/>
  <c r="L74" i="1"/>
  <c r="M74" i="1" s="1"/>
  <c r="T74" i="1"/>
  <c r="U74" i="1" s="1"/>
  <c r="L61" i="1"/>
  <c r="M61" i="1" s="1"/>
  <c r="T61" i="1"/>
  <c r="U61" i="1" s="1"/>
  <c r="L122" i="1"/>
  <c r="M122" i="1" s="1"/>
  <c r="T122" i="1"/>
  <c r="U122" i="1" s="1"/>
  <c r="L63" i="1"/>
  <c r="M63" i="1" s="1"/>
  <c r="T63" i="1"/>
  <c r="U63" i="1" s="1"/>
  <c r="L58" i="1"/>
  <c r="M58" i="1" s="1"/>
  <c r="T58" i="1"/>
  <c r="U58" i="1" s="1"/>
  <c r="L78" i="1"/>
  <c r="M78" i="1" s="1"/>
  <c r="T78" i="1"/>
  <c r="U78" i="1" s="1"/>
  <c r="L80" i="1"/>
  <c r="M80" i="1" s="1"/>
  <c r="T80" i="1"/>
  <c r="U80" i="1" s="1"/>
  <c r="T65" i="1"/>
  <c r="U65" i="1" s="1"/>
  <c r="L65" i="1"/>
  <c r="M65" i="1" s="1"/>
  <c r="T64" i="1"/>
  <c r="U64" i="1" s="1"/>
  <c r="L64" i="1"/>
  <c r="M64" i="1" s="1"/>
  <c r="F78" i="1"/>
  <c r="E95" i="9"/>
  <c r="F95" i="9" s="1"/>
  <c r="F74" i="1"/>
  <c r="E91" i="9"/>
  <c r="F91" i="9" s="1"/>
  <c r="F72" i="1"/>
  <c r="E89" i="9"/>
  <c r="F89" i="9" s="1"/>
  <c r="F75" i="1"/>
  <c r="E92" i="9"/>
  <c r="F92" i="9" s="1"/>
  <c r="F77" i="1"/>
  <c r="E94" i="9"/>
  <c r="F94" i="9" s="1"/>
  <c r="F82" i="1"/>
  <c r="E99" i="9"/>
  <c r="F99" i="9" s="1"/>
  <c r="F97" i="1"/>
  <c r="E114" i="9"/>
  <c r="F114" i="9" s="1"/>
  <c r="F80" i="1"/>
  <c r="E97" i="9"/>
  <c r="F97" i="9" s="1"/>
  <c r="F65" i="1"/>
  <c r="E82" i="9"/>
  <c r="F82" i="9" s="1"/>
  <c r="F60" i="1"/>
  <c r="E77" i="9"/>
  <c r="F77" i="9" s="1"/>
  <c r="F116" i="1"/>
  <c r="E133" i="9"/>
  <c r="F133" i="9" s="1"/>
  <c r="F58" i="1"/>
  <c r="E75" i="9"/>
  <c r="F75" i="9" s="1"/>
  <c r="F1716" i="3"/>
  <c r="F122" i="1"/>
  <c r="E139" i="9"/>
  <c r="F139" i="9" s="1"/>
  <c r="F63" i="1"/>
  <c r="E80" i="9"/>
  <c r="F80" i="9" s="1"/>
  <c r="F114" i="1"/>
  <c r="E131" i="9"/>
  <c r="F131" i="9" s="1"/>
  <c r="F64" i="1"/>
  <c r="E81" i="9"/>
  <c r="F81" i="9" s="1"/>
  <c r="F61" i="1"/>
  <c r="E78" i="9"/>
  <c r="F78" i="9" s="1"/>
  <c r="F81" i="1"/>
  <c r="E98" i="9"/>
  <c r="F98" i="9" s="1"/>
  <c r="F115" i="1"/>
  <c r="E132" i="9"/>
  <c r="F132" i="9" s="1"/>
  <c r="F71" i="1"/>
  <c r="E88" i="9"/>
  <c r="F88" i="9" s="1"/>
  <c r="F124" i="1"/>
  <c r="E141" i="9"/>
  <c r="F141" i="9" s="1"/>
  <c r="F73" i="1"/>
  <c r="E90" i="9"/>
  <c r="F90" i="9" s="1"/>
  <c r="F59" i="1"/>
  <c r="E76" i="9"/>
  <c r="F76" i="9" s="1"/>
  <c r="F101" i="1"/>
  <c r="E118" i="9"/>
  <c r="F118" i="9" s="1"/>
  <c r="F117" i="1"/>
  <c r="E134" i="9"/>
  <c r="F134" i="9" s="1"/>
  <c r="F62" i="1"/>
  <c r="E79" i="9"/>
  <c r="F79" i="9" s="1"/>
  <c r="F79" i="1"/>
  <c r="U145" i="1" l="1"/>
  <c r="E123" i="9"/>
  <c r="F123" i="9" s="1"/>
  <c r="L106" i="1"/>
  <c r="M106" i="1" s="1"/>
  <c r="T106" i="1"/>
  <c r="U106" i="1" s="1"/>
  <c r="F106" i="1"/>
  <c r="F21" i="1" l="1"/>
  <c r="F17" i="1" l="1"/>
  <c r="G878" i="3" l="1"/>
  <c r="F884" i="3" s="1"/>
  <c r="F880" i="3" l="1"/>
  <c r="F889" i="3" s="1"/>
  <c r="L67" i="1" l="1"/>
  <c r="M67" i="1" s="1"/>
  <c r="T67" i="1"/>
  <c r="U67" i="1" s="1"/>
  <c r="F67" i="1"/>
  <c r="F145" i="1" s="1"/>
  <c r="E84" i="9"/>
  <c r="F84" i="9" s="1"/>
  <c r="F146" i="1" l="1"/>
  <c r="F148" i="1"/>
  <c r="F147" i="1"/>
  <c r="F149" i="1" l="1"/>
  <c r="F151" i="1" l="1"/>
  <c r="G150" i="1"/>
  <c r="H185" i="5" l="1"/>
  <c r="D33" i="9" s="1"/>
  <c r="F33" i="9" s="1"/>
  <c r="F144" i="9" s="1"/>
  <c r="F146" i="9" l="1"/>
  <c r="F147" i="9"/>
  <c r="F148" i="9" s="1"/>
  <c r="F145" i="9"/>
  <c r="K29" i="1"/>
  <c r="M29" i="1" s="1"/>
  <c r="M145" i="1" s="1"/>
  <c r="S29" i="1"/>
  <c r="U29" i="1" l="1"/>
  <c r="W147" i="1" s="1"/>
  <c r="F149" i="9"/>
  <c r="M148" i="1"/>
  <c r="M147" i="1"/>
  <c r="M146" i="1"/>
  <c r="M149" i="1" l="1"/>
  <c r="M158" i="1" s="1"/>
  <c r="M151" i="1" l="1"/>
  <c r="O157" i="1" s="1"/>
  <c r="V150" i="1"/>
  <c r="F33" i="7"/>
  <c r="F29" i="7"/>
  <c r="M159" i="1"/>
  <c r="M161" i="1" s="1"/>
  <c r="N158" i="1"/>
  <c r="N159" i="1" s="1"/>
  <c r="N161" i="1" s="1"/>
  <c r="G29" i="7" l="1"/>
  <c r="H29" i="7" s="1"/>
  <c r="F30" i="7"/>
  <c r="G30" i="7" s="1"/>
  <c r="H30" i="7" s="1"/>
  <c r="F31" i="7"/>
  <c r="G31" i="7" s="1"/>
  <c r="H31" i="7" s="1"/>
  <c r="G33" i="7"/>
  <c r="H33" i="7" s="1"/>
  <c r="H37" i="7" s="1"/>
  <c r="F34" i="7"/>
  <c r="G34" i="7" s="1"/>
  <c r="H34" i="7" s="1"/>
  <c r="V157" i="1"/>
  <c r="V158" i="1"/>
  <c r="D32" i="7" l="1"/>
  <c r="V159" i="1"/>
  <c r="V161" i="1" s="1"/>
  <c r="D35" i="7" l="1"/>
</calcChain>
</file>

<file path=xl/sharedStrings.xml><?xml version="1.0" encoding="utf-8"?>
<sst xmlns="http://schemas.openxmlformats.org/spreadsheetml/2006/main" count="5136" uniqueCount="1133">
  <si>
    <t>ÍTEM</t>
  </si>
  <si>
    <t>ACTIVIDAD</t>
  </si>
  <si>
    <t>UND</t>
  </si>
  <si>
    <t>CANTIDADES</t>
  </si>
  <si>
    <t>VALOR UNITARIO</t>
  </si>
  <si>
    <t>VR. TOTAL</t>
  </si>
  <si>
    <t>Preliminares</t>
  </si>
  <si>
    <t>Descapote</t>
  </si>
  <si>
    <t>Nivelacion del terreno</t>
  </si>
  <si>
    <t>Base granular</t>
  </si>
  <si>
    <t>Excavaciones para zapatas</t>
  </si>
  <si>
    <t>Excavaciones para vigas de amarre</t>
  </si>
  <si>
    <t>Excavaciones para instalaciones hidrosanitarias y electricas</t>
  </si>
  <si>
    <t>Estructuras en concreto</t>
  </si>
  <si>
    <t>Concreto pobre para limpieza (Solado) de 2000 PSI</t>
  </si>
  <si>
    <t>Dintel en concreto de 3000 PSI (21.1 Mpa)</t>
  </si>
  <si>
    <t>Meson para lavamanos en concreto para camerinos de 3000 PSI (21.1 Mpa)</t>
  </si>
  <si>
    <t>Acero de refuerzo</t>
  </si>
  <si>
    <t>Acero de refuerzo de 60000 PSI (420 Mpa) Corrugado</t>
  </si>
  <si>
    <t>Mamposteria</t>
  </si>
  <si>
    <t>Muro en bloque de concreto a la vista de 15x20x40 cm 13 mpa incluye mortero de pega con refuerzo para oficina</t>
  </si>
  <si>
    <t>Muro en bloque de concreto a la vista de 15x20x40 cm 13 mpa incluye mortero para estructura de cerramiento</t>
  </si>
  <si>
    <t>Estructura metalica y cubierta</t>
  </si>
  <si>
    <t>Instalaciones electricas</t>
  </si>
  <si>
    <t>Instalaciones sanitarias</t>
  </si>
  <si>
    <t>Instalaciones hidraulicas</t>
  </si>
  <si>
    <t>Pisos</t>
  </si>
  <si>
    <t>Aparatos para baños</t>
  </si>
  <si>
    <t>Carpinteria metalica</t>
  </si>
  <si>
    <t>Pinturas</t>
  </si>
  <si>
    <t>Equipo deportivo</t>
  </si>
  <si>
    <t>Aseo General</t>
  </si>
  <si>
    <t>Sanitario tipo tanque Acuacer para oficina</t>
  </si>
  <si>
    <t>Und</t>
  </si>
  <si>
    <t>m2</t>
  </si>
  <si>
    <t>Tasa sanitaria baltica con fluxometro</t>
  </si>
  <si>
    <t>Lavamanos para meson tipo Acuacer o equivalente para camerinos</t>
  </si>
  <si>
    <t>Lavamanos para colgar tipo acuacer o equivalente para baño de oficinas</t>
  </si>
  <si>
    <t>Lavamanos para colgar tipo Aquajet o equivalente para baño de discapacitados</t>
  </si>
  <si>
    <t>Orinal Grande para baño ubicado en el camerino de hombres</t>
  </si>
  <si>
    <t>Ducha para camerinos</t>
  </si>
  <si>
    <t>ml</t>
  </si>
  <si>
    <t>m3</t>
  </si>
  <si>
    <t>Kg</t>
  </si>
  <si>
    <t>Alistado de piso impermeabilizado e=6 cm mortero 1:4</t>
  </si>
  <si>
    <t>Excavaciones y Rellenos</t>
  </si>
  <si>
    <t>Tuberia de 4” pvc para bajante de aguas lluvias</t>
  </si>
  <si>
    <t>Tuberia para suministro de red de 1 1/2"</t>
  </si>
  <si>
    <t>Tuberia para suministro de red de 1 1/4"</t>
  </si>
  <si>
    <t>Tuberia para suministro de red de 3/4"</t>
  </si>
  <si>
    <t>Puertas</t>
  </si>
  <si>
    <t>Enchapes y estucos</t>
  </si>
  <si>
    <t>Salida sanitaria de 4” para sanitarios incluye tuberia y accesorios</t>
  </si>
  <si>
    <t>Piso en concreto endurecido de 15 cm de espesor de 3000 PSI</t>
  </si>
  <si>
    <t>Suministro pasamanos discapacitados longitud de 1m</t>
  </si>
  <si>
    <t>und</t>
  </si>
  <si>
    <t>Demarcacion de pintura acrilica para cancha multifuncional</t>
  </si>
  <si>
    <t>Graderias en concreto de 3000 PSI</t>
  </si>
  <si>
    <t>Estructura metalica</t>
  </si>
  <si>
    <t>Suministro e instalacion de tuberia en pvc de 4” para aguas negras</t>
  </si>
  <si>
    <t>Caja de inspeccion 60x60 en ladrillo recocido</t>
  </si>
  <si>
    <t>Pasamanos para graderia y tarima en tubo de 2" de diametro</t>
  </si>
  <si>
    <t>Aseo general</t>
  </si>
  <si>
    <t>Muro en bloque confinado ladrillo cocido 15x6x30 para base de malla electrosoldada</t>
  </si>
  <si>
    <t xml:space="preserve">Cerramiento en tuberia y malla eslabonada calibre </t>
  </si>
  <si>
    <t>PRECIO</t>
  </si>
  <si>
    <t>CEMENTO GRIS</t>
  </si>
  <si>
    <t>DESPERDICIO</t>
  </si>
  <si>
    <t>TOTAL</t>
  </si>
  <si>
    <t>M3/M3</t>
  </si>
  <si>
    <t>MANO DE OBRA</t>
  </si>
  <si>
    <t>M3</t>
  </si>
  <si>
    <t>CEMENTO BLANCO</t>
  </si>
  <si>
    <t>CUADRILLA TIPO 1</t>
  </si>
  <si>
    <t>CUADRILLA TIPO 3</t>
  </si>
  <si>
    <t>M2</t>
  </si>
  <si>
    <t>HH/M2</t>
  </si>
  <si>
    <t>Hr/M3</t>
  </si>
  <si>
    <t>HERRAMIENTAS</t>
  </si>
  <si>
    <t>RETIRO MATERIAL DE LA EXCAVACIÓN</t>
  </si>
  <si>
    <t>ML</t>
  </si>
  <si>
    <t>Hr/ML</t>
  </si>
  <si>
    <t>ML/ML</t>
  </si>
  <si>
    <t>Hr/M2</t>
  </si>
  <si>
    <t>RETROEXCAVADORA CARGADORA DESCAPOTE</t>
  </si>
  <si>
    <t>M2/M2</t>
  </si>
  <si>
    <t>M3/M2</t>
  </si>
  <si>
    <t>M3/ML</t>
  </si>
  <si>
    <t>CONCRETO 3.000 P.S.I.</t>
  </si>
  <si>
    <t>MANO DE OBRA CUADRILLA TIPO 2</t>
  </si>
  <si>
    <t>UN/ML</t>
  </si>
  <si>
    <t>TESTERO PARA FORMALETA</t>
  </si>
  <si>
    <t>TRANSPORTE DE MATERIALES</t>
  </si>
  <si>
    <t>HERRAMIENTAS Y EQUIPOS</t>
  </si>
  <si>
    <t>UN/M3</t>
  </si>
  <si>
    <t>HIERRO 3/8</t>
  </si>
  <si>
    <t>HIERRO 1/2</t>
  </si>
  <si>
    <t>CONCRETO 3.500 P.S.I.</t>
  </si>
  <si>
    <t>CONCRETO 4.000 P.S.I.</t>
  </si>
  <si>
    <t>CHAZAS, PARALES Y CERCHAS</t>
  </si>
  <si>
    <t>FORMALETA METÁLICA</t>
  </si>
  <si>
    <t>UN/UN</t>
  </si>
  <si>
    <t>Hr/UN</t>
  </si>
  <si>
    <t>GAL/ML</t>
  </si>
  <si>
    <t>UN/M2</t>
  </si>
  <si>
    <t>ML/M2</t>
  </si>
  <si>
    <t>MORTERO</t>
  </si>
  <si>
    <t xml:space="preserve">BLOQUE DE CEMENTO </t>
  </si>
  <si>
    <t>M2/ML</t>
  </si>
  <si>
    <t>M2/UN</t>
  </si>
  <si>
    <t>GAL/UN</t>
  </si>
  <si>
    <t>KG/M2</t>
  </si>
  <si>
    <t>KG/ML</t>
  </si>
  <si>
    <t>MATERIAL SELECCIONADO</t>
  </si>
  <si>
    <t>GAL/M2</t>
  </si>
  <si>
    <t>Mortero 1:5</t>
  </si>
  <si>
    <t>TRANSPORTE</t>
  </si>
  <si>
    <t>Kg/M2</t>
  </si>
  <si>
    <t>YESO CORRIENTE</t>
  </si>
  <si>
    <t>BUL/M2</t>
  </si>
  <si>
    <t>CAOLIN</t>
  </si>
  <si>
    <t>ANDAMIOS</t>
  </si>
  <si>
    <t>LIMPIADOR P.V.C.</t>
  </si>
  <si>
    <t>SOLDADOR P.V.C.</t>
  </si>
  <si>
    <t>UNIONES DE 1/2"</t>
  </si>
  <si>
    <t>TEES DE 1/2"</t>
  </si>
  <si>
    <t>CODOS DE 1/2"</t>
  </si>
  <si>
    <t>UNIONES DE 3/4"</t>
  </si>
  <si>
    <t>TEES DE 3/4"</t>
  </si>
  <si>
    <t>CODOS DE 3/4"</t>
  </si>
  <si>
    <t>TUBO P.V.C. RDE 21 DE 1 1/2"</t>
  </si>
  <si>
    <t>UNIONES DE 1 1/2"</t>
  </si>
  <si>
    <t>TEES DE 1 1/2"</t>
  </si>
  <si>
    <t>CODOS DE 1 1/2"</t>
  </si>
  <si>
    <t>UNIONES DE 2"</t>
  </si>
  <si>
    <t>TEES DE 2"</t>
  </si>
  <si>
    <t>CODOS DE 2"</t>
  </si>
  <si>
    <t>TUBO P.V.C. 100 P.S.I.DE 3/4"</t>
  </si>
  <si>
    <t>ML/UN</t>
  </si>
  <si>
    <t>TEES DE 1/2" X 1"</t>
  </si>
  <si>
    <t>ADAPTADOR HEMBRA DE 1/2"</t>
  </si>
  <si>
    <t>TUBO C.P.V.C. DE 1/2"</t>
  </si>
  <si>
    <t>TUBO P.V.C. DE 3/4"</t>
  </si>
  <si>
    <t>REDUCCIÓN DE 3/4" X 1/2"</t>
  </si>
  <si>
    <t>CODO DE 3/4"</t>
  </si>
  <si>
    <t>TUBERÍA DE 1/2"</t>
  </si>
  <si>
    <t>TUBO P.V.C. SANITARIA DE 6"</t>
  </si>
  <si>
    <t>SEMICODO DE 4"</t>
  </si>
  <si>
    <t>TUBO P.V.C. SANITARIA DE 4"</t>
  </si>
  <si>
    <t>TUBO P.V.C. SANITARIA DE 2"</t>
  </si>
  <si>
    <t>SEMICODO DE 2"</t>
  </si>
  <si>
    <t>LEVANTE EN LADRILLO COMÚN</t>
  </si>
  <si>
    <t>PAÑETE ALLANADO DE 0,02</t>
  </si>
  <si>
    <t>PLANTILLA EN CONCRETO</t>
  </si>
  <si>
    <t>CODO DE 2"</t>
  </si>
  <si>
    <t>YEE DE 2"</t>
  </si>
  <si>
    <t>CODO DE 4"</t>
  </si>
  <si>
    <t>YEE DE 4"</t>
  </si>
  <si>
    <t>HERRAMIENTAS MENORES</t>
  </si>
  <si>
    <t>ROLLO DE TELA VERDE</t>
  </si>
  <si>
    <t>Rollo/M2</t>
  </si>
  <si>
    <t>LISTON DE 2" X 3"</t>
  </si>
  <si>
    <t>Liston/M2</t>
  </si>
  <si>
    <t>MOTONIVELADORA</t>
  </si>
  <si>
    <t>EQUIPO DE VIBROCOMPACTACIÓN DE 8 TON</t>
  </si>
  <si>
    <t xml:space="preserve">CONCRETO DE 2000 P.S.I. </t>
  </si>
  <si>
    <t xml:space="preserve">Concreto para zapatas de 3500 PSI </t>
  </si>
  <si>
    <t xml:space="preserve">Vigas de cimentación en concreto de 3500 PSI </t>
  </si>
  <si>
    <t>Losa maciza e=10cm de 3000 PSI (21.1 Mpa)</t>
  </si>
  <si>
    <t>Losa maciza e=10cm de 3500 PSI (21.1 Mpa)</t>
  </si>
  <si>
    <t xml:space="preserve">FORMALETA Y EQUIPOS </t>
  </si>
  <si>
    <t>MANO DE OBRA CUADRILLA 2</t>
  </si>
  <si>
    <t>Malla electrosoldada 20x20 Panel de 6.00 mts x 2,35 mts 4 mm</t>
  </si>
  <si>
    <t>KG</t>
  </si>
  <si>
    <t>MALLA/KG</t>
  </si>
  <si>
    <t>ALAMBRE NEGRO PARA AMARRAR</t>
  </si>
  <si>
    <t>KG/KG</t>
  </si>
  <si>
    <t>Hr/KG</t>
  </si>
  <si>
    <t xml:space="preserve">LADRILLO COCIDO 15 X 6 X 30 </t>
  </si>
  <si>
    <t xml:space="preserve">Accesorios de remate, acero galvanizado pintado espesor 0,5 mm y desarrollo máximo 610mm </t>
  </si>
  <si>
    <t xml:space="preserve">Pernos de fijación </t>
  </si>
  <si>
    <t>UN/KG</t>
  </si>
  <si>
    <t>Hierro calibre 5/8"</t>
  </si>
  <si>
    <t>Acero estructural 50 x 50 2 mm grado 50</t>
  </si>
  <si>
    <t>Acero estructural 70 x 70 2,5 mm grado 50</t>
  </si>
  <si>
    <t>Acero estructural 90 x 90 3 mm grado 50</t>
  </si>
  <si>
    <t>Acero estructural 90 x 90 2,5 mm grado 50</t>
  </si>
  <si>
    <t>Acero estructural CF 250 X 2,5 mm grado 50</t>
  </si>
  <si>
    <t>Soldadura 6011 x 1/8"</t>
  </si>
  <si>
    <t>GAL/KG</t>
  </si>
  <si>
    <t>Diluyente Thiner</t>
  </si>
  <si>
    <t xml:space="preserve">Pintura Anticorrosivo </t>
  </si>
  <si>
    <t>Suministro e instalacion de salida sanitaria para duchas de 2”</t>
  </si>
  <si>
    <t>Suministro e instalacion de salida sanitaria para lavamanos de 2”</t>
  </si>
  <si>
    <t>Suministro e instalacion de salida sanitaria para rejilla de piso de 2”</t>
  </si>
  <si>
    <t>Rejilla de piso de PVC de 2"</t>
  </si>
  <si>
    <t>Suministro e instalacion de salida sanitaria para orinales de 2”</t>
  </si>
  <si>
    <t>Tuberia de 4” pvc para colector de aguas lluvias</t>
  </si>
  <si>
    <t>Punto hidraulico de 1/2" lavamanos</t>
  </si>
  <si>
    <t>Punto hidraulico de 1/2" duchas</t>
  </si>
  <si>
    <t>Punto hidraulico de 1/2" llave jardín</t>
  </si>
  <si>
    <t>Punto hidraulico de 1 1/4" para sanitario tipo fluxómetro</t>
  </si>
  <si>
    <t>Punto hidraulico de 1 1/4" para orinal tipo fluxómetro</t>
  </si>
  <si>
    <t>TUBO P.V.C. DE 1 1/4"</t>
  </si>
  <si>
    <t>CODO DE 1 1/4"</t>
  </si>
  <si>
    <t>LLAVE CONTROL DE 1 1/4"</t>
  </si>
  <si>
    <t>TUBO P.V.C. 100 P.S.I.DE 1 1/4"</t>
  </si>
  <si>
    <t>UNIONES DE 1 1/4"</t>
  </si>
  <si>
    <t>TEES DE 1 1/4"</t>
  </si>
  <si>
    <t>CODOS DE 1 1/4"</t>
  </si>
  <si>
    <t>Pintura esmalte Blanco</t>
  </si>
  <si>
    <t xml:space="preserve">Sika 1 impermeabilizante </t>
  </si>
  <si>
    <t xml:space="preserve">Sanitario tipo tanque Acuacer </t>
  </si>
  <si>
    <t>Hr/un</t>
  </si>
  <si>
    <t xml:space="preserve">Tasa sanitaria baltica </t>
  </si>
  <si>
    <t>Grifería fluxómetro</t>
  </si>
  <si>
    <t>Manguera de conexión en 1/2"</t>
  </si>
  <si>
    <t xml:space="preserve">Lavamanos para mesón tipo Acuacer </t>
  </si>
  <si>
    <t xml:space="preserve">Orinal </t>
  </si>
  <si>
    <t xml:space="preserve">Grifería de orinal </t>
  </si>
  <si>
    <t xml:space="preserve">Ducha </t>
  </si>
  <si>
    <t>Enchape para baños en cerámica corona 30x30cm o similar color blanco</t>
  </si>
  <si>
    <t>CERÁMICA 30 x 30 color blanco</t>
  </si>
  <si>
    <t>PEGACOR</t>
  </si>
  <si>
    <t>BOLSA/M2</t>
  </si>
  <si>
    <t>Estuco para muros</t>
  </si>
  <si>
    <t xml:space="preserve">PUERTA 1600 X 570 EN ACERO INOXIDABLE </t>
  </si>
  <si>
    <t>TABIQUE DIVISIONES A PISO LISAS</t>
  </si>
  <si>
    <t>C. EXTREMA</t>
  </si>
  <si>
    <t>PARAL A PISO</t>
  </si>
  <si>
    <t xml:space="preserve">Portones de entrada en malla eslabonada Cal. 10 de 5x5cm, parales en tubo de 2" cal 5,5mm, Bastidores y refuerzos en angulo de 1/4"x3/16", pisa malla en platina de 1"x1/8" y acabado en pintura a base de aceite.  </t>
  </si>
  <si>
    <t xml:space="preserve">Marco polifuncional para microfutbol y baloncesto en tubo galvanizado tipo pesado de 2", incluye tablero en acrilico, aros, malla de baloncesto y cancha de microfubtol, anclado a piso funcionando correctamente  </t>
  </si>
  <si>
    <t>PRELIMINARES</t>
  </si>
  <si>
    <t>UNIDAD:</t>
  </si>
  <si>
    <t>DESCRIPCIÓN</t>
  </si>
  <si>
    <t>V/r UNITARIO</t>
  </si>
  <si>
    <t>CANT</t>
  </si>
  <si>
    <t>UNIDAD</t>
  </si>
  <si>
    <t>V/r PARCIAL</t>
  </si>
  <si>
    <t>MATERIALES</t>
  </si>
  <si>
    <t>EQUIPO</t>
  </si>
  <si>
    <t>V/r TOTAL</t>
  </si>
  <si>
    <t>1.2 Trazado y replanteo</t>
  </si>
  <si>
    <t>1.3 Descapote</t>
  </si>
  <si>
    <t>EXCAVACIONES</t>
  </si>
  <si>
    <t>2.1 Nivelacion de terreno</t>
  </si>
  <si>
    <t>2.2 Base granular</t>
  </si>
  <si>
    <t>2.3 Excavacion manual</t>
  </si>
  <si>
    <t>2.4 Excavacion manual para zapatas</t>
  </si>
  <si>
    <t>2.5 Excavacion manual para vigas de amarre</t>
  </si>
  <si>
    <t>CONCRETO</t>
  </si>
  <si>
    <t>3.1 Concreto para limpieza de 2000 PSI (Solado)</t>
  </si>
  <si>
    <t>3.2 Concreto para zapatas de 3500 PSI</t>
  </si>
  <si>
    <t xml:space="preserve">3.4 Concreto de f´c: 245 Kg/cm2 (3500 PSI) Para vigas de comentacion </t>
  </si>
  <si>
    <t>ACEROS</t>
  </si>
  <si>
    <t>4.2 Acero de refuerzo de 60000 PSI (420 Mpa) corrugado</t>
  </si>
  <si>
    <t>MAMPOSTERIA</t>
  </si>
  <si>
    <t>5.3 Muro en bloque confinado ladrillo cocido 15x6x30 para base de malla eslabonada</t>
  </si>
  <si>
    <t>ESTRUCTURA METALICA Y CUBIERTA</t>
  </si>
  <si>
    <t>6.1 Estructura metalica</t>
  </si>
  <si>
    <t>INSTALACIONES SANITARIAS</t>
  </si>
  <si>
    <t>8.1 Caja de inspeccion 60x60 en ladrillo recocido</t>
  </si>
  <si>
    <t>8.2 Suministro e instalacion de tuberia en PVC 4" para aguas  negras</t>
  </si>
  <si>
    <t>8.3 Suministro e instalacion de salida sanitaria para lavamanos de 2"</t>
  </si>
  <si>
    <t>8.4 Suministro e instalacion de salida sanitaria para duchas de 2"</t>
  </si>
  <si>
    <t>8.5 Suministro e instalacion de salida sanitaria para rejilla de piso de 2"</t>
  </si>
  <si>
    <t>8.6 Suministro e instalacion de salida sanitaria para  orinales de 2"</t>
  </si>
  <si>
    <t>8.7 Salida sanitaria de 4" para sanitarios incluye tuberia y accesorios</t>
  </si>
  <si>
    <t>8.8 Tuberia de 4" PVC para bajantes de aguas</t>
  </si>
  <si>
    <t>8.9 Colector de aguas lluvias 4"</t>
  </si>
  <si>
    <t>INSTALACIONES HIDRAULICAS</t>
  </si>
  <si>
    <t>9.1 Punto hidraulico de 1/2" lavamanos</t>
  </si>
  <si>
    <t>9.2 Punto hidraulico de 1/2" duchas</t>
  </si>
  <si>
    <t>9.3 Punto hidraulico de 1/2" llave de jardin</t>
  </si>
  <si>
    <t>10.1 Alistado de piso impermeabilizado e= 6 cm 1:4</t>
  </si>
  <si>
    <t>10.2 Piso en concreto endurecido 15 cm de espesor 3000 PSI</t>
  </si>
  <si>
    <t>11.1 Sanitario tipo tanque Acuacer para oficina o equivalente</t>
  </si>
  <si>
    <t>11.2 Tasa Sanitaria Baltica con fluxometro o equivalente</t>
  </si>
  <si>
    <t>11.3 Lavamanos para meson tipo Acuacer o equivalente para camerinos</t>
  </si>
  <si>
    <t>11.4 Lavamanos para colgar tipo acuacer o equivalente para baño de oficinas</t>
  </si>
  <si>
    <t>11.6 Orinal Grande para baño con fluxometro ubicado en el camerino de hombres</t>
  </si>
  <si>
    <t>11.7 Ducha para camerinos</t>
  </si>
  <si>
    <t>12 Puertas</t>
  </si>
  <si>
    <t>BISAGRA COBRIZADA 3"</t>
  </si>
  <si>
    <t>LAMINA C.R. CAL. 18</t>
  </si>
  <si>
    <t>UND/UND</t>
  </si>
  <si>
    <t>SOLDADURA DE 1/8" METAL</t>
  </si>
  <si>
    <t>KG/UND</t>
  </si>
  <si>
    <t>ANTICORROSIVO</t>
  </si>
  <si>
    <t>GAL/UND</t>
  </si>
  <si>
    <t>CHAPA YALE SEGURIDAD</t>
  </si>
  <si>
    <t>13 Enchape y estucos</t>
  </si>
  <si>
    <t>13.1 Enchape para baños 30x30cm corona o similiar color blanco</t>
  </si>
  <si>
    <t>TUBO METALICO DE 2"</t>
  </si>
  <si>
    <t>TUBO METALICO 3/4"</t>
  </si>
  <si>
    <t>MALLA ESLABONADA GALV 2x2. CAL. 10</t>
  </si>
  <si>
    <t>TUBERIA GALV. DE 2"</t>
  </si>
  <si>
    <t>SOLADURA METAL 1/8"</t>
  </si>
  <si>
    <t>ANGULO DE 1/8" X 1"</t>
  </si>
  <si>
    <t>PINTURA ACRILICA DE DEMARCACION</t>
  </si>
  <si>
    <t>JGO/UND</t>
  </si>
  <si>
    <t>PORTERIA CANCHA MICROFUTBOL - BALONCESTO EN TUBERIA GALBANIZADA 2"</t>
  </si>
  <si>
    <t>ARO PARA CANCHA BALONCESTO</t>
  </si>
  <si>
    <t>ESMALTE PINTURA</t>
  </si>
  <si>
    <t>DISOLVENTE THINNER</t>
  </si>
  <si>
    <t>LIJA PLIEGO</t>
  </si>
  <si>
    <t>TABLERO ACRILICO PARA CANCHA BALONCESTO</t>
  </si>
  <si>
    <t>ANGULO DE 1/8"X1"</t>
  </si>
  <si>
    <t>ML/UND</t>
  </si>
  <si>
    <t>MALLA CANCHA DE BALONCESTO EN HILO No.12</t>
  </si>
  <si>
    <t>Glb/M2</t>
  </si>
  <si>
    <t>IMPLEMENTOS DE ASEO</t>
  </si>
  <si>
    <t>Excavaciones manual</t>
  </si>
  <si>
    <t>3.6 Losa maciza e=10cm de 3500 PSI (Mpa)</t>
  </si>
  <si>
    <t>3.7 Dintel en concreto de 3000 PSI</t>
  </si>
  <si>
    <t>3.8 Rampa en concreto para entrada a camerinos y oficinas 3000 PSI</t>
  </si>
  <si>
    <t>3.9 Meson para lavamanos en concreto para camerinos 3000 PSI</t>
  </si>
  <si>
    <t>3.10 Graderias en concreto de 3500 PSI</t>
  </si>
  <si>
    <t>LISTADO DE MATERIALES</t>
  </si>
  <si>
    <t>MATERIALES, EQUIPO y MAQUINARIA, JORNALES</t>
  </si>
  <si>
    <t>V/r.    Unitario</t>
  </si>
  <si>
    <t>REJILLA DE PISO 2"</t>
  </si>
  <si>
    <t>9.4 Punto hidraulico de 1 1/4" para orinal tipo fluxómetro</t>
  </si>
  <si>
    <t>9.5 Punto hidraulico de 1 1/4" para sanitario tipo fluxómetro</t>
  </si>
  <si>
    <t>SELLADOR ETERNA</t>
  </si>
  <si>
    <t>VALVULA DE COMPUERTA RED WHITE 2"</t>
  </si>
  <si>
    <t>VALVULA DE COMPUERTA RED WHITE 3/4"</t>
  </si>
  <si>
    <t>Suministro e instalacion de valvula de compuerta Red White 2"</t>
  </si>
  <si>
    <t>Suministro e instalacion de valvula de compuerta Red White 3/4""</t>
  </si>
  <si>
    <t>Suministro e instalacion de MEDIDOR TOTALIZADOR  ∅1 1/2" DE VELOCIDAD R160/R200</t>
  </si>
  <si>
    <t>Canal Metalico de 0.70 mts</t>
  </si>
  <si>
    <t>LAMINA GALV. CAL. 22</t>
  </si>
  <si>
    <t>PLATINA DE 1/4"X1"</t>
  </si>
  <si>
    <t>SOLDADURA WESTARCO 8013X1/8"</t>
  </si>
  <si>
    <t>UND/ML</t>
  </si>
  <si>
    <t>Suministro, transporte, hincada y aplomada poste de concreto de 12m x 800 daN</t>
  </si>
  <si>
    <t>Suministro e instalación puesta a tierra en poste 12m MT</t>
  </si>
  <si>
    <t>Cimentación para poste de concreto de 12m</t>
  </si>
  <si>
    <t>Suministro e instalación armado bifásico fin de línea 13.2 kV</t>
  </si>
  <si>
    <t xml:space="preserve"> Suministro e instalación armado bifásico ángulo (60°-90°) 13.2 kV</t>
  </si>
  <si>
    <t>Suministro e instalación armado auxiliar para protecciones 13.2 kV</t>
  </si>
  <si>
    <t>Suministro y tendido aéreo de línea ACSR 2 x 1/0 - 13.2 kV</t>
  </si>
  <si>
    <t>Suministro e instalación seccionador de fusible 100 A. 15 kV (incluye fusibles de hilo, conectores y bajante en cable de cobre # 2 desnudo)</t>
  </si>
  <si>
    <t>Suministro e instalación descargador de sobretensión 12 kV</t>
  </si>
  <si>
    <t>Suministro e instalación transformador monofásico  15 kVA 13200/240/120V</t>
  </si>
  <si>
    <t>Equipo de carro canasta y grúa homologado para trabajos en tensión</t>
  </si>
  <si>
    <t>Suministro e instalación bajante IMC 1-1/2"x3m</t>
  </si>
  <si>
    <t>Construcción regristro de inspección BT SB325</t>
  </si>
  <si>
    <t>Acometida general en baja tensión desde transformador hasta tablero de distribución en 2x1/0Cu+2Cu - 2x1-1/2" PVC</t>
  </si>
  <si>
    <t>Equipo de medida semidirecta exterior en baja tensión nivel I</t>
  </si>
  <si>
    <t>Suministro e instalación tablero de distribución trifásico de 18 ctos con puerta, chapa plástica y espacio para totalizador. (incluye totalizador y brekers parciales)</t>
  </si>
  <si>
    <t>Suministro e instalación puesta a tierra para tablero  de distribución</t>
  </si>
  <si>
    <t>Suministro e instalación lámpara LED Antares 100W 220 V de sobreponer (incluye suministro e instalación de lámpara)</t>
  </si>
  <si>
    <t>Suministro e instalación salida para lámpara bala  LED Downlight 22W 120V - PVC (incluye  suministro e instalación de lámpara)</t>
  </si>
  <si>
    <t>Salida para lámpara aplique en muro 120 V - PVC  (incluye suministro e instalación de lámpara)</t>
  </si>
  <si>
    <t xml:space="preserve">Salida para switch interruptor sencillo 120 V - PVC </t>
  </si>
  <si>
    <t>Salida para switch interruptor doble 120 V - PVC</t>
  </si>
  <si>
    <t xml:space="preserve">Salida para equipo hidroneumatico 2HP 220V - PVC desde tablero de distribución </t>
  </si>
  <si>
    <t xml:space="preserve">Salida para voz y datos sencilla </t>
  </si>
  <si>
    <t>Consultoría de proyectos por parte de Electricaribe</t>
  </si>
  <si>
    <t xml:space="preserve">Revisión de materiales e instalaciones por parte de  Electricaribe </t>
  </si>
  <si>
    <t xml:space="preserve">Inspección y certificación RETIE de transformación, distribución y uso final </t>
  </si>
  <si>
    <t>Inspección y certificación RETILAP de la cancha multiple</t>
  </si>
  <si>
    <t>SUBTOTAL</t>
  </si>
  <si>
    <t>TOTAL OBRA</t>
  </si>
  <si>
    <t xml:space="preserve"> Equipo deportivo</t>
  </si>
  <si>
    <t>Pintura</t>
  </si>
  <si>
    <t>15.1 Demarcacion de pintura acrilica para cancha multifuncional</t>
  </si>
  <si>
    <t>17.1 Aseo general de obra</t>
  </si>
  <si>
    <t>UND/M2</t>
  </si>
  <si>
    <t>Ventana corrediza en aluminio natural ref. 50-20 y vidrio 3 mm</t>
  </si>
  <si>
    <t>Estacas de madera</t>
  </si>
  <si>
    <t>Ml/M2</t>
  </si>
  <si>
    <t>Puntillas</t>
  </si>
  <si>
    <t>Hilo ata todo</t>
  </si>
  <si>
    <t>13.2 Estuco para muros</t>
  </si>
  <si>
    <t>Baldosas para baños 30x30cm corona o similiar color blanco</t>
  </si>
  <si>
    <t>8.10 Cinstalacion rejilla de piso 2"</t>
  </si>
  <si>
    <t>ARO Y TAPA POZOS INSP EN HF</t>
  </si>
  <si>
    <t>MURO TOLETE COMÚN E=0.25 M</t>
  </si>
  <si>
    <t>PAÑETE IMPERMEABILIZADO 1:3</t>
  </si>
  <si>
    <t>M2/UND</t>
  </si>
  <si>
    <t>Escaleras en concreto</t>
  </si>
  <si>
    <t>3.11 Escaleras en concreto de 3500 PSI</t>
  </si>
  <si>
    <t>Mampostería</t>
  </si>
  <si>
    <t>Impermeabilizante para concreto SIKA</t>
  </si>
  <si>
    <t>Tapa metálica 50x50 cm, incluye marco y bisagras</t>
  </si>
  <si>
    <t xml:space="preserve">Hierro de 1/2" </t>
  </si>
  <si>
    <t>Pañete</t>
  </si>
  <si>
    <t>Gal/UND</t>
  </si>
  <si>
    <t>Kilo/UND</t>
  </si>
  <si>
    <t>Construccion de alberca subterranea de 2.6mx2mx2.6m en concreto 3.500 PSI</t>
  </si>
  <si>
    <t>10.3 Baldosas para baños 30x30cm corona o similiar color blanco</t>
  </si>
  <si>
    <t>Hidrante tipo poste DN 4” (100mm), dos salidas, bridado</t>
  </si>
  <si>
    <t>Lubricante 1 kg</t>
  </si>
  <si>
    <t>Suministro e instalacion de hidrante de 4"</t>
  </si>
  <si>
    <t>Banca en acero inoxidable</t>
  </si>
  <si>
    <t>Caja para medidor de 1.8m x 0.70m x 0.60m</t>
  </si>
  <si>
    <t>Suministro e instalacion banca en acero</t>
  </si>
  <si>
    <t>Tornillos de anclaje para banca</t>
  </si>
  <si>
    <t>MEDIDOR TOTALIZADOR 1 1/2</t>
  </si>
  <si>
    <t>Punto hidraulico de 4" para hidrante</t>
  </si>
  <si>
    <t>TUBO P.V.C. DE 4"</t>
  </si>
  <si>
    <t>VALVULA DE COMPUERTA DE 4"</t>
  </si>
  <si>
    <t>BUJE de 2" a 4"</t>
  </si>
  <si>
    <t>9.6 Punto hidraulico de 4" para hidrante</t>
  </si>
  <si>
    <t>9.7 Suministro e instalacion de valvula de compuerta Red White 2"</t>
  </si>
  <si>
    <t>9.8 Suministro e instalacion de valvula de compuerta Red White 3/4"</t>
  </si>
  <si>
    <t>9.9 Suministro e instalacion de MEDIDOR TOTALIZADOR  ∅1 1/2" DE VELOCIDAD R160/R200</t>
  </si>
  <si>
    <t>9.10 Tuberia para suministro de red de 3/4"</t>
  </si>
  <si>
    <t>9.11 Tuberia para suministro de  red de 1 1/4"</t>
  </si>
  <si>
    <t>9.12 Tuberia para suministro de  red de 1 1/2"</t>
  </si>
  <si>
    <t>9.13 Construccion de alberca subterranea de 2.6mx2mx2.6m</t>
  </si>
  <si>
    <t>9.14 Suministro e instalacion de hidrante de 4"</t>
  </si>
  <si>
    <t>9.15 Caja para medidor de 1.8m x 0.70m x 0.60m</t>
  </si>
  <si>
    <t>12.1 Puerta entamborada cold Roll Calibre 18 pintado de blanco en acabado electroestatico</t>
  </si>
  <si>
    <t>Chazo plastico 1/4"</t>
  </si>
  <si>
    <t>Vidrio Transparente de 4 mm</t>
  </si>
  <si>
    <t>Silicona transparente 11 Onz</t>
  </si>
  <si>
    <t>Torn Pamph 1/2x8</t>
  </si>
  <si>
    <t>Ventana Aluminio MOD=50-20</t>
  </si>
  <si>
    <t>Guia plastica</t>
  </si>
  <si>
    <t>Cierre 1/2 luna</t>
  </si>
  <si>
    <t>Rodamiento Nylon VC-50</t>
  </si>
  <si>
    <t>Torn Pamph 1x8</t>
  </si>
  <si>
    <t xml:space="preserve">16.1 Marco polifuncional para microfutbol y baloncesto en tubo galvanizado tipo pesado de 2", incluye tablero en acrilico, aros, malla de baloncesto y cancha de microfutbol, anclado a piso funcionando correctamente  </t>
  </si>
  <si>
    <t>11.8 Suministro e instalacion espejo para camerinos</t>
  </si>
  <si>
    <t>Espejo de 4mm de espesor</t>
  </si>
  <si>
    <t>Cinta doble faz</t>
  </si>
  <si>
    <t>ROL/M2</t>
  </si>
  <si>
    <t>12.3 Puerta metalica entamorada Cal 20</t>
  </si>
  <si>
    <t>MASILLA PLASTICA TEC PANEL</t>
  </si>
  <si>
    <t>WASH PRIMER</t>
  </si>
  <si>
    <t>LIJA 320 AGUA</t>
  </si>
  <si>
    <t>SOLDADURA 6011 x 1/8"</t>
  </si>
  <si>
    <t xml:space="preserve">TUBO GALV. 1,1/2" 2.5_x000D_
</t>
  </si>
  <si>
    <t>TUBO GALV. 1"""</t>
  </si>
  <si>
    <t>CU/M2</t>
  </si>
  <si>
    <t>LTS/M2</t>
  </si>
  <si>
    <t>PLI/M2</t>
  </si>
  <si>
    <t>KLS/M2</t>
  </si>
  <si>
    <t>LAM.COLD ROLLED C.20</t>
  </si>
  <si>
    <t>ANTICORROSIVO PHCL</t>
  </si>
  <si>
    <t>Puerta de emergencia en malla eslabonada de 1.2 m x 3 m</t>
  </si>
  <si>
    <t>Pozos de inspeccion 1.20 m de diametro en ladrillo tolete h=2.20m</t>
  </si>
  <si>
    <t>Pozos de inspeccion 1.20 m de diametro en ladrillo tolete h=1.20</t>
  </si>
  <si>
    <t>8.12 Pozo de inspeccion  Diametro 1.2 m  H:2.2m</t>
  </si>
  <si>
    <t>8.11 Pozo de inspeccion  Diametro 1.2 m  H:1.20m</t>
  </si>
  <si>
    <t>Griferia ducha sencilla</t>
  </si>
  <si>
    <t>MEMORIA DE CANTIDADES</t>
  </si>
  <si>
    <t>ITEM</t>
  </si>
  <si>
    <t>DESCRIPCION</t>
  </si>
  <si>
    <t>LARGO</t>
  </si>
  <si>
    <t>ANCHO</t>
  </si>
  <si>
    <t>ALTO</t>
  </si>
  <si>
    <t>CANTIDAD</t>
  </si>
  <si>
    <t>LOCALIZACIÓN</t>
  </si>
  <si>
    <t>Suministro e instalación de cerramiento provisional en tela verde de 2 metros de altura, incluye madera de soporte de listones de 2"x3" cada 3 metros en el área a intervenir.</t>
  </si>
  <si>
    <t>Lote CIC Fundacion</t>
  </si>
  <si>
    <t>Localización, trazado y replanteo del proyecto. Incluye demarcación con pintura, líneas de trazado, estacas, niveles de piso, libretas, planos y referencias</t>
  </si>
  <si>
    <t>EXCAVACIONES Y RELLENOS</t>
  </si>
  <si>
    <t>Total</t>
  </si>
  <si>
    <t>ESTRUCTURAS EN CONCRETO</t>
  </si>
  <si>
    <t/>
  </si>
  <si>
    <t>Tarima</t>
  </si>
  <si>
    <t>Gradas</t>
  </si>
  <si>
    <t>Construcción de escaleras en concreto f'c=3000 PSI, incluye curado. Según diseño.</t>
  </si>
  <si>
    <t>Acceso a oficina</t>
  </si>
  <si>
    <t>Acceso a tarima</t>
  </si>
  <si>
    <t>Baño Hombres</t>
  </si>
  <si>
    <t>Camerinos Hombres</t>
  </si>
  <si>
    <t>Baño Mujeres</t>
  </si>
  <si>
    <t>Camerinos Mujeres</t>
  </si>
  <si>
    <t>Oficina Coordinador</t>
  </si>
  <si>
    <t>Baño Oficina</t>
  </si>
  <si>
    <t>Acceso Baño Hombres</t>
  </si>
  <si>
    <t>Acceso Baño Mujeres</t>
  </si>
  <si>
    <t>Acceso Oficina</t>
  </si>
  <si>
    <t>Construcción de meson para lavamanos en concreto f'c=3000 PSI, incluye curado</t>
  </si>
  <si>
    <t>Baños de Hombres</t>
  </si>
  <si>
    <t>Baños de Mujeres</t>
  </si>
  <si>
    <t>Construcción de graderia en concreto f'c=3000 PSI, incluye curado. Según diseños</t>
  </si>
  <si>
    <t>Planta Graderias</t>
  </si>
  <si>
    <t>Corte Graderias</t>
  </si>
  <si>
    <t>ACERO DE REFUERZO</t>
  </si>
  <si>
    <t>Muro en bloque de concreto a la vista de 15x20x40 cm 13 mpa incluye mortero de pega con refuerzo</t>
  </si>
  <si>
    <t>Rampa accesos baños</t>
  </si>
  <si>
    <t>Baños Hombres</t>
  </si>
  <si>
    <t>Baños Mujeres</t>
  </si>
  <si>
    <t>Rampa y escalera acceso oficina</t>
  </si>
  <si>
    <t>Oficinas</t>
  </si>
  <si>
    <t>Fachada principal</t>
  </si>
  <si>
    <t>Fachada lateral</t>
  </si>
  <si>
    <t>Fachada posterior</t>
  </si>
  <si>
    <t>Cubierta</t>
  </si>
  <si>
    <t>Anden exterior</t>
  </si>
  <si>
    <t>Anden interior</t>
  </si>
  <si>
    <t>Construccion de manhole de 1.2 m y altura de 1.20m en ladrillo tolete, incluye cañuela, marco y tapa en concreto.</t>
  </si>
  <si>
    <t>Construccion de manhole de 1.2 m y altura de 2.20m en ladrillo tolete, incluye cañuela, marco y tapa en concreto.</t>
  </si>
  <si>
    <t>Anden de la via</t>
  </si>
  <si>
    <t>Suministro e instalacion de tuberia en pvc de 6” para aguas negras</t>
  </si>
  <si>
    <t>Suministro e instalacion de valvula compuerta red white 2"</t>
  </si>
  <si>
    <t>Suministro e instalacion de valvula compuerta red white 3/4"</t>
  </si>
  <si>
    <t>Suministro e instalacion de tuberia en pvc presion de 3/4"</t>
  </si>
  <si>
    <t>Suministro e instalacion de tuberia en pvc presion de 1-1/4"</t>
  </si>
  <si>
    <t>Suministro e instalacion de tuberia en pvc presion de 1-1/2"</t>
  </si>
  <si>
    <t>Suministro e instalacion de tuberia en pvc presion de 2"</t>
  </si>
  <si>
    <t>Suministro e instalacion de tuberia en pvc presion de 2-1/2"</t>
  </si>
  <si>
    <t>Suministro e instalacion de medidor totalizador 1-1/2" de velocidad R160/R200</t>
  </si>
  <si>
    <t>Caja medidor anden exterior</t>
  </si>
  <si>
    <t>Construccion de caja para medidor, incluye tapa</t>
  </si>
  <si>
    <t>Zona de seguridad cancha multiple</t>
  </si>
  <si>
    <t>PISOS</t>
  </si>
  <si>
    <t>Cancha multiple</t>
  </si>
  <si>
    <t>Zona circulacion y canchas</t>
  </si>
  <si>
    <t>Suministro e instalacion de baldosa en cerámica corona 30x30cm o similar color blanco</t>
  </si>
  <si>
    <t>APARATOS SANITARIOS</t>
  </si>
  <si>
    <t>Suministro e instalacion de equipo hidroneumatico, incluye dos bombas centrifugas (Principal y reserva) de 2 HP, tanque hidroneumatico de 200 Litros y accesorios para su conexión y funcionamiento.</t>
  </si>
  <si>
    <t>GL</t>
  </si>
  <si>
    <t>PUERTAS</t>
  </si>
  <si>
    <t>ENCHAPE Y ESTUCO</t>
  </si>
  <si>
    <t>Oficina coordinador</t>
  </si>
  <si>
    <t>Oficina auxiliares</t>
  </si>
  <si>
    <t>CARPINTERIA METALICA</t>
  </si>
  <si>
    <t>Suministro e instalación de divisiones para baños en acero inoxidable, incluye puertas, parales chapas, bisagras, empaques, pasadores barras de 1.5" de acuerdo a la norma para baños de personas con discapacidad locomotriz y todos los elementos requeridos para su correcta ejecución.</t>
  </si>
  <si>
    <t>Sanitarios baño hombres y mujeres</t>
  </si>
  <si>
    <t>Discapacitados baño hombres y mujeres</t>
  </si>
  <si>
    <t>Ducha baño hombres y mujeres</t>
  </si>
  <si>
    <t>Suministro e instalación de divisiones para orinales en acero inoxidable, incluye fijaciones y todos los elementos requeridos para su correcta ejecución.</t>
  </si>
  <si>
    <t>Orinales baño hombres</t>
  </si>
  <si>
    <t>Fachada</t>
  </si>
  <si>
    <t>Suministro e instalacion de pasamanos para graderia y tarima en tubo de 2"</t>
  </si>
  <si>
    <t>Porton en malla eslabonada</t>
  </si>
  <si>
    <t>Puerta de emergencia en malla eslabonada</t>
  </si>
  <si>
    <t>Suministro e instalacion de ventanas de 1.50 m x 0.60 m en acabado de aluminio y vidrio 3mm</t>
  </si>
  <si>
    <t>Oficina</t>
  </si>
  <si>
    <t>Suministro e Instalacion de Bancas Metalicas de 2.70 m</t>
  </si>
  <si>
    <t>PINTURAS</t>
  </si>
  <si>
    <t>EQUIPO DEPORTIVO</t>
  </si>
  <si>
    <t>Suministro e instalación de estructuras integradas con porterias microfutbol y tablero de baloncesto</t>
  </si>
  <si>
    <t>Soporte para voleibol tres posiciones</t>
  </si>
  <si>
    <t>ASEO GENERAL</t>
  </si>
  <si>
    <t>Puerta entamborada cold roll calibre 20. Acabado en esmalte blanco</t>
  </si>
  <si>
    <t>Suministro e instalacion de Puerta entamborada cold roll calibre 20. Incluye acabado en esmalte blanco</t>
  </si>
  <si>
    <t>TEJA AJOVER TRAPEZOIDAL (0,82x5,40)</t>
  </si>
  <si>
    <t>TORNILLO FIJA ALA</t>
  </si>
  <si>
    <t>TORNILLO AUTOPERFORANTE AJOVER</t>
  </si>
  <si>
    <t>6.2 Cubierta en teja termoacustica trapezoidal</t>
  </si>
  <si>
    <t>6.3 Caballete para cubierta</t>
  </si>
  <si>
    <t>CABALLETE TERMOACUSTIC (2.0 X 0.70)</t>
  </si>
  <si>
    <t>Caballete  para cubierta</t>
  </si>
  <si>
    <t>Caballete para cubierta</t>
  </si>
  <si>
    <t>IVA SOBRE UTILIDAD 19%</t>
  </si>
  <si>
    <t>IMPREVISTOS 3%</t>
  </si>
  <si>
    <t>11.9 Suministro e instalacion de equipo hidroneumatico, incluye dos bombas centrifugas (Principal y reserva) de 2 HP, tanque hidroneumatico de 200 Litros y accesorios para su conexión y funcionamiento.</t>
  </si>
  <si>
    <t>Dos bombas centrifugas (Principal y reserva) de 2 HP, tanque hidroneumatico de 200 Litros y accesorios</t>
  </si>
  <si>
    <t>Viga aerea</t>
  </si>
  <si>
    <t>3.12 Vigas aereas</t>
  </si>
  <si>
    <t>Malla electrosoldada 15x15 Panel de 6.00 mts x 2,35 mts 6 mm</t>
  </si>
  <si>
    <t>4.1 Malla electrosoldada 15x15 panel de 6 metros x2,65 mts 6mm</t>
  </si>
  <si>
    <t>Columna en concreto de seccion rectangular de 4000 PSI</t>
  </si>
  <si>
    <t>Concreto para pedestales de 4000 PSI</t>
  </si>
  <si>
    <t>Rampa en concreto  de 3000 PSI (21.1 Mpa)</t>
  </si>
  <si>
    <t>3.3 Concreto de f´c: 280 Kg/cm2 (4000 PSI) Para pedestales de 0,40x0,60m</t>
  </si>
  <si>
    <t>3.5 Concreto de f´c: 280 Kg/cm2 (4000PSI) seccion rectangular para columnas</t>
  </si>
  <si>
    <t>5.2 Muro en bloque de concreto a la vista de 15x20x40 cm 13 mpa incluye mortero para estructura de cerramiento</t>
  </si>
  <si>
    <t>5.1 Muro en bloque de concreto a la vista de 15x20x40 cm 13 mpa incluye mortero de pega con refuerzo para oficina</t>
  </si>
  <si>
    <t>Subbase granular</t>
  </si>
  <si>
    <t>Caja registro 1</t>
  </si>
  <si>
    <t>Caja registro 2</t>
  </si>
  <si>
    <t>Caja registro 3</t>
  </si>
  <si>
    <t>Caja registro 4</t>
  </si>
  <si>
    <t>Manhole 1</t>
  </si>
  <si>
    <t>Manhole 2</t>
  </si>
  <si>
    <t>C1 y C8</t>
  </si>
  <si>
    <t>C2, C7, C11, C12, C13, C14, C15 y C16</t>
  </si>
  <si>
    <t>C3, C4, C5 y C6</t>
  </si>
  <si>
    <t>C9</t>
  </si>
  <si>
    <t>C10</t>
  </si>
  <si>
    <t>C17 y C25</t>
  </si>
  <si>
    <t>C18 y C24</t>
  </si>
  <si>
    <t>C19, C20, C21, C22 y C23</t>
  </si>
  <si>
    <t>C26 y C34</t>
  </si>
  <si>
    <t>C27, C29, C31 y C33</t>
  </si>
  <si>
    <t>C28, C30 y C32</t>
  </si>
  <si>
    <t>C35 y C36</t>
  </si>
  <si>
    <t>C.2.2 [C17 - C18], C.2.2 [C24 - C25]</t>
  </si>
  <si>
    <t>C.2.2 [C23 - C24], C.2.2 [C18 - C19]</t>
  </si>
  <si>
    <t>VC.S-3.1 [C19 - C28]</t>
  </si>
  <si>
    <t>VC.S-3.1 [C18 - C27], VC.S-3.1 [C24 - C33], VC.S-3.1 [C25 - C34], VC.S-3.1 [C22 - C31], VC.S-3.1 [C17 - C26]</t>
  </si>
  <si>
    <t>C.2.2 [C7 - C16], C.2.2 [C2 - C11]</t>
  </si>
  <si>
    <t>C.2.2 [C1 - C2], C.2.2 [C7 - C8]</t>
  </si>
  <si>
    <t>C.2.2 [C3 - C4], C.2.2 [C5 - C6], C.2.2 [C4 - C5]</t>
  </si>
  <si>
    <t>C.2.2 [C11 - C12], C.2.2 [C15 - C16]</t>
  </si>
  <si>
    <t>C.2.2 [C2 - C3], C.2.2 [C6 - C7]</t>
  </si>
  <si>
    <t>VC.S-3.1 [C21 - C30]</t>
  </si>
  <si>
    <t>C.2.2 [C1 - C9], C.2.2 [C8 - C10]</t>
  </si>
  <si>
    <t>C.2.2 [C9 - C11], C.2.2 [C16 - C10]</t>
  </si>
  <si>
    <t>VC.S-3.1 [C23 - C32]</t>
  </si>
  <si>
    <t>C.2.2 [C13 - C14], C.2.2 [C14 - C15], C.2.2 [C12 - C13]</t>
  </si>
  <si>
    <t>C.2.2 [C26 - C27]</t>
  </si>
  <si>
    <t>C.2.2 [C20 - C21], C.2.2 [C21 - C22]</t>
  </si>
  <si>
    <t>C.2.2 [C28 - C29]</t>
  </si>
  <si>
    <t>C.2.2 [C29 - C30], C.2.2 [C32 - C33], C.2.2 [C31 - C32], C.2.2 [C30 - C31]</t>
  </si>
  <si>
    <t>C.2.2 [C6 - C15], C.2.2 [C3 - C12], C.2.2 [C4 - C13], C.2.2 [C5 - C14]</t>
  </si>
  <si>
    <t>C.2.2 [C27 - C28]</t>
  </si>
  <si>
    <t>C.2.2 [C19 - C20], C.2.2 [C22 - C23]</t>
  </si>
  <si>
    <t>C.2.2 [C33 - C34]</t>
  </si>
  <si>
    <t>Concreto para zapatas de 3500 PSI</t>
  </si>
  <si>
    <t>C3, C4, C5, C6</t>
  </si>
  <si>
    <t>C1, C8, C26, C27, C33, C34</t>
  </si>
  <si>
    <t>C26, C34</t>
  </si>
  <si>
    <t>C27, C29, C31, C33</t>
  </si>
  <si>
    <t>C2, C7</t>
  </si>
  <si>
    <t>C11, C12, C13, C14, C15, C16</t>
  </si>
  <si>
    <t>C19, C20, C21, C22, C23, C28, C30, C32, C35, C36</t>
  </si>
  <si>
    <t>Rampa en concreto de 3000 PSI (21.1 Mpa)</t>
  </si>
  <si>
    <t xml:space="preserve">Vigas aereas en concreto de 3500 PSI </t>
  </si>
  <si>
    <t>Viga tarima (V-201, V-207, V-210)</t>
  </si>
  <si>
    <t>Viga tarima (V-202)</t>
  </si>
  <si>
    <t>Viga tarima (V-203)</t>
  </si>
  <si>
    <t>Viga tarima (V-204)</t>
  </si>
  <si>
    <t>Viga tarima (V-205, V-206)</t>
  </si>
  <si>
    <t>Viga tarima (V-208, V-209)</t>
  </si>
  <si>
    <t>Viga tarima (V-211, V-213, V-215)</t>
  </si>
  <si>
    <t>Viga tarima (V-212, V-214)</t>
  </si>
  <si>
    <t>Viga tarima (V-216)</t>
  </si>
  <si>
    <t>Viga tarima (V-217, V-219)</t>
  </si>
  <si>
    <t>Viga tarima (V-218)</t>
  </si>
  <si>
    <t>Vigas graderia (Viga -8, Viga -1)</t>
  </si>
  <si>
    <t>Vigas graderia (Viga -7, Viga -6, Viga -5, Viga -4, Viga -3, Viga -2)</t>
  </si>
  <si>
    <t>Vigas graderia (Viga -10, Viga -11, Viga -12, Viga -13)</t>
  </si>
  <si>
    <t>Vigas graderia (Viga -9, Viga -14)</t>
  </si>
  <si>
    <t>Malla electrosoldada∅6mm @15 cm en los 2 sentidos</t>
  </si>
  <si>
    <t>Zapatas</t>
  </si>
  <si>
    <t>Columnas</t>
  </si>
  <si>
    <t>Vigas graderia</t>
  </si>
  <si>
    <t>Vigas tarima</t>
  </si>
  <si>
    <t>Escaleras</t>
  </si>
  <si>
    <t>CR2 - MH1</t>
  </si>
  <si>
    <t>CR1 - CR2</t>
  </si>
  <si>
    <t>Baño Oficina - CR1</t>
  </si>
  <si>
    <t>CR4 - MH1</t>
  </si>
  <si>
    <t>CR3 - CR4</t>
  </si>
  <si>
    <t>Baño Hombres - CR4</t>
  </si>
  <si>
    <t>Baño Mujeres - CR3</t>
  </si>
  <si>
    <t>Muro en bloque confinado ladrillo cocido 15x6x30 para base de malla eslabonada</t>
  </si>
  <si>
    <t>Cubierta en teja termoacustica trapezoidal</t>
  </si>
  <si>
    <t>MH1 - MH2</t>
  </si>
  <si>
    <t>MH2 - MHE</t>
  </si>
  <si>
    <t xml:space="preserve">Suministro e instalacion espejo </t>
  </si>
  <si>
    <t>Suministro e instalacion espejo</t>
  </si>
  <si>
    <t>Baño discapacitado hombres</t>
  </si>
  <si>
    <t>Baño discapacitado mujeres</t>
  </si>
  <si>
    <t>8.13 Suministro e instalacion de tuberia en pvc de 6” para aguas negras</t>
  </si>
  <si>
    <t>SEMICODO DE 6"</t>
  </si>
  <si>
    <t>VALVULA DE COMPUERTA RED WHITE 1/2"</t>
  </si>
  <si>
    <t>Tuberia para suministro de red de 2"</t>
  </si>
  <si>
    <t>Tuberia para suministro de red de 2 1/2"</t>
  </si>
  <si>
    <t>Tuberia para suministro de red de 1"</t>
  </si>
  <si>
    <t>9.16 Suministro e instalacion de valvula de compuerta Red White 1/2"</t>
  </si>
  <si>
    <t>TUBO P.V.C. 100 P.S.I.DE 2"</t>
  </si>
  <si>
    <t>Suministro e instalacion de valvula de compuerta Red White 1/2"</t>
  </si>
  <si>
    <t>TUBO P.V.C. 100 P.S.I.DE 2 1/2"</t>
  </si>
  <si>
    <t>UNIONES DE 2 1/2"</t>
  </si>
  <si>
    <t>TEES DE 2 1/2"</t>
  </si>
  <si>
    <t>CODOS DE 2 1/2"</t>
  </si>
  <si>
    <t>TUBO P.V.C. 100 P.S.I.DE 1"</t>
  </si>
  <si>
    <t>TEES DE  1"</t>
  </si>
  <si>
    <t>UNIONES DE  1"</t>
  </si>
  <si>
    <t>CODOS DE  1"</t>
  </si>
  <si>
    <t>VALVULA DE COMPUERTA RED WHITE 1 1/4"</t>
  </si>
  <si>
    <t>9.17 Suministro e instalacion de valvula de compuerta Red White 1 1/4"</t>
  </si>
  <si>
    <t>9.18 Tuberia para suministro de red de 2"</t>
  </si>
  <si>
    <t>9.19 Tuberia para suministro de red de 2 1/2"</t>
  </si>
  <si>
    <t>9.20 Tuberia para suministro de red de 1"</t>
  </si>
  <si>
    <t>Suministro e instalacion de valvula de compuerta Red White 1 1/4"</t>
  </si>
  <si>
    <t>Camerinos mujeres y hombres</t>
  </si>
  <si>
    <t>Acceso a oficina - Baño oficina</t>
  </si>
  <si>
    <t>Conexión - Medidor</t>
  </si>
  <si>
    <t>Medidor - Tanque Subterraneo</t>
  </si>
  <si>
    <t>Equipo Hidroneumatico - Baño Mujeres</t>
  </si>
  <si>
    <t>Equipo Hidroneumatico - Baño Hombres</t>
  </si>
  <si>
    <t>Tanque Subterraneo - Equipo hidroneumatico</t>
  </si>
  <si>
    <t>Equipo hidroneumatico - Acceso a oficinas</t>
  </si>
  <si>
    <t>Muro Malla eslabonada</t>
  </si>
  <si>
    <t>Baño hombres</t>
  </si>
  <si>
    <t>Suministro e instalacion de valvula compuerta red white 1/2"</t>
  </si>
  <si>
    <t>Suministro e instalacion de valvula compuerta red white 1 1/4"</t>
  </si>
  <si>
    <t>Sanitarios Mujeres</t>
  </si>
  <si>
    <t>Sanitarios Hombres</t>
  </si>
  <si>
    <t>Suministro e instalacion de tuberia en pvc presion de 1"</t>
  </si>
  <si>
    <t>14.1 Suministro e instalación de divisiones para baños en acero inoxidable, incluye puertas, parales chapas, bisagras, empaques, pasadores barras de 1.5" de acuerdo a la norma para baños de personas con discapacidad locomotriz y todos los elementos requeridos para su correcta ejecución.</t>
  </si>
  <si>
    <t>14.2 Divisiones para orinales en acero inoxidable</t>
  </si>
  <si>
    <t>UTILIDAD 8%</t>
  </si>
  <si>
    <t>ADMINISTRACION 19%</t>
  </si>
  <si>
    <t xml:space="preserve">Salida para toma doble normal 120 V - PVC incluye acometida desde  oficina y tarima de eventos </t>
  </si>
  <si>
    <t>Salida para A.A. 12000 BTU 220V - PVC incluye acometida desde tablero de distribución hasta manejadora</t>
  </si>
  <si>
    <t>BLOQUE DE 15 X 20 X 40</t>
  </si>
  <si>
    <t>MEDIDOR TIPO VELOCIDAD TOTALIZADOR (1 1⁄2”), R100 de diámetro, BRONCE con sus Respectivos acoples y empaques y con su respectivo
certificado de calibración por Parte de un laboratorio debidamente acreditado por la ONAC. Marca Control Agua.</t>
  </si>
  <si>
    <t xml:space="preserve">COSTO DIRECTO </t>
  </si>
  <si>
    <t>VALOR PARCIAL</t>
  </si>
  <si>
    <t>VALOR CAPITULO</t>
  </si>
  <si>
    <t>1.01</t>
  </si>
  <si>
    <t>Staff de personal (incluye prestaciones sociales)</t>
  </si>
  <si>
    <t>Director de obra</t>
  </si>
  <si>
    <t>MES</t>
  </si>
  <si>
    <t>Residente de obra No. 01</t>
  </si>
  <si>
    <t>1.02</t>
  </si>
  <si>
    <t>Cuadrilla de administración (incluye prestaciones sociales)</t>
  </si>
  <si>
    <t>Almacenista</t>
  </si>
  <si>
    <t>Bodeguero</t>
  </si>
  <si>
    <t>Conductor</t>
  </si>
  <si>
    <t>1.03</t>
  </si>
  <si>
    <t>Personal de vigilancia (incluye prestaciones sociales)</t>
  </si>
  <si>
    <t>Sistema de seguridad industrial / dotación</t>
  </si>
  <si>
    <t>Suministro y consumo de servicios publicos durante la ejecución del proyecto</t>
  </si>
  <si>
    <t>Sistema plan de manejo ambiental</t>
  </si>
  <si>
    <t>1.09</t>
  </si>
  <si>
    <t>Ensayos de control de calidad</t>
  </si>
  <si>
    <t>1.10</t>
  </si>
  <si>
    <t>Papelería</t>
  </si>
  <si>
    <t>1.12</t>
  </si>
  <si>
    <t>Mantenimiento equipos/herramientas</t>
  </si>
  <si>
    <t>Regístro fotografico/videos/informes</t>
  </si>
  <si>
    <t>Registro y elaboración de planos record</t>
  </si>
  <si>
    <t xml:space="preserve"> Elaboración manuales de operación manuales de operación y mantenimiento </t>
  </si>
  <si>
    <t>1.17</t>
  </si>
  <si>
    <t>Costo proporcional oficina central</t>
  </si>
  <si>
    <t>Contribución, prouniversidad, refundación univ, pro-hospital</t>
  </si>
  <si>
    <t>%</t>
  </si>
  <si>
    <t xml:space="preserve"> Pólizas</t>
  </si>
  <si>
    <t>Industria y comercio y 4 / 1000</t>
  </si>
  <si>
    <t>PORCENTAJE ADMINISTRACIÓN</t>
  </si>
  <si>
    <t xml:space="preserve"> IMPREVISTOS</t>
  </si>
  <si>
    <t>UTILIDADES</t>
  </si>
  <si>
    <t>AIU</t>
  </si>
  <si>
    <t>VALOR TOTAL PROYECTO</t>
  </si>
  <si>
    <t>DEDICACION</t>
  </si>
  <si>
    <t>COSTOS PERSONAL</t>
  </si>
  <si>
    <t>CARGO</t>
  </si>
  <si>
    <t>SALARIO</t>
  </si>
  <si>
    <t>FM</t>
  </si>
  <si>
    <t>VR. UNITARIO</t>
  </si>
  <si>
    <t>DEDICACIÓN</t>
  </si>
  <si>
    <t>TIEMPO (meses)</t>
  </si>
  <si>
    <t>Cantidad</t>
  </si>
  <si>
    <t>VR.TOTAL</t>
  </si>
  <si>
    <t>Ingeniero Hidráulico</t>
  </si>
  <si>
    <t>Ingeniero Estructural</t>
  </si>
  <si>
    <t>Ingeniero Geotecnista</t>
  </si>
  <si>
    <t>Ingeniero Diseño</t>
  </si>
  <si>
    <t>Dibujante</t>
  </si>
  <si>
    <t>Topógrafo (Catastros, Diseños)</t>
  </si>
  <si>
    <t>Cadenero (Catastros, diseños)</t>
  </si>
  <si>
    <t>Secretaria</t>
  </si>
  <si>
    <t>SUBTOTAL COSTOS DIRECTOS</t>
  </si>
  <si>
    <t>COSTOS INDIRECTOS</t>
  </si>
  <si>
    <t>Alquiler equipo de Topografía</t>
  </si>
  <si>
    <t>Dotación, herramientas (Catastros)</t>
  </si>
  <si>
    <t xml:space="preserve">Alquiler Oficina </t>
  </si>
  <si>
    <t>Alquiler alojamiento trabajos de campo</t>
  </si>
  <si>
    <t>Edición de informes y producción planos</t>
  </si>
  <si>
    <t xml:space="preserve">Computadores </t>
  </si>
  <si>
    <t>Alquiler de vehículo (incluye conductor)</t>
  </si>
  <si>
    <t>Investigaciones Geotecnicas (Estudio de Suelos)</t>
  </si>
  <si>
    <t>Apiques exploratorios (Via sin pavimento)</t>
  </si>
  <si>
    <t>Apiques exploratorios(Via con pavimento)</t>
  </si>
  <si>
    <t>Viáticos ocasionales (personal profesional)</t>
  </si>
  <si>
    <t>Plotter</t>
  </si>
  <si>
    <t xml:space="preserve">Caracterización de aguas </t>
  </si>
  <si>
    <t xml:space="preserve">SUBTOTAL </t>
  </si>
  <si>
    <t>IVA</t>
  </si>
  <si>
    <t>IVA VIGENTE</t>
  </si>
  <si>
    <t xml:space="preserve">TOTAL </t>
  </si>
  <si>
    <t>Director de interventoria</t>
  </si>
  <si>
    <t>Ingeniero residente de interventoria</t>
  </si>
  <si>
    <t>Ingeniero Electrico</t>
  </si>
  <si>
    <t>Tecnico en supervision de obras civiles</t>
  </si>
  <si>
    <t>Ingeniero Auxiliar</t>
  </si>
  <si>
    <t>2.6 Excavacion manual para tuberias hidrosanitarias y electricas</t>
  </si>
  <si>
    <t>TAPA EN CONCRETO CON CONTRAMARCO</t>
  </si>
  <si>
    <t>MARCO EN ANGULO DE 1 1/2" X 1/8"</t>
  </si>
  <si>
    <t>MES 1</t>
  </si>
  <si>
    <t>MES 2</t>
  </si>
  <si>
    <t>MES 3</t>
  </si>
  <si>
    <t>MES 4</t>
  </si>
  <si>
    <t>SEMANAS</t>
  </si>
  <si>
    <t>Valvula de pie en bronce D: 1 1/4</t>
  </si>
  <si>
    <t>Material electrico para conexión control de nivel tanque bajo, conexión motor electrico a arrancador directo</t>
  </si>
  <si>
    <t>Accesorios, tuberia, valvula de compuerta y cheque horizontal</t>
  </si>
  <si>
    <t>CENTRO DE INTEGRACION CIUDADANA</t>
  </si>
  <si>
    <t>TABIQUE DIVISIONES EN PARED LISAS CON ANCLAJES A PARED CALIBRE 20</t>
  </si>
  <si>
    <t>14.3 Suministro pasamanos discapacitados longitud de 1m 2"</t>
  </si>
  <si>
    <t>Acero laminado A572</t>
  </si>
  <si>
    <t>Canalizacion subterranea en tubo PVC 2" para sistema de telecomunicaciones ( Solo suministro e instalacion de tuberia)</t>
  </si>
  <si>
    <t>Poste de concreto de 12m x 800 daN</t>
  </si>
  <si>
    <t>Cable Cu desnudo 2 Awg</t>
  </si>
  <si>
    <t>Conector pica puesta a tierra</t>
  </si>
  <si>
    <t>Varilla coperweld de 2.40 m enchaquetada</t>
  </si>
  <si>
    <t>Arena</t>
  </si>
  <si>
    <t>Cemento</t>
  </si>
  <si>
    <t>Gravilla</t>
  </si>
  <si>
    <t>LTA/UN</t>
  </si>
  <si>
    <t>BTO/UND</t>
  </si>
  <si>
    <t>Aislador polimérico 13.2 kV</t>
  </si>
  <si>
    <t>Arandela plana redonda 5/8"</t>
  </si>
  <si>
    <t>Arandela presión 5/8"</t>
  </si>
  <si>
    <t>Cruceta angular metálica autosoportada de 2400 mm</t>
  </si>
  <si>
    <t>Espárrago 5/8" x 18"</t>
  </si>
  <si>
    <t>Grapa tipo pistola 1/0</t>
  </si>
  <si>
    <t>Grillete 5/8"</t>
  </si>
  <si>
    <t>Perno 5/8" x 12"</t>
  </si>
  <si>
    <t>Arandela cuadrada 5/8" x 2.5cm x 2.5cm</t>
  </si>
  <si>
    <t>Cartucho ampact azul</t>
  </si>
  <si>
    <t>Conector ampact 1/0 - 1/0</t>
  </si>
  <si>
    <t>Cable acsr 1/0 Awg.</t>
  </si>
  <si>
    <t>Cortacircuito primarios 15 kV - 100A</t>
  </si>
  <si>
    <t>Fusible para seccionador de distribución</t>
  </si>
  <si>
    <t>Conector en C # 2</t>
  </si>
  <si>
    <t>Descargador de sobretensión a 12 kv</t>
  </si>
  <si>
    <t>Collarin para transformador</t>
  </si>
  <si>
    <t>Transformador monofásico de 15 kVA 13200/240/120V</t>
  </si>
  <si>
    <t>Capacete de 1-1/2"</t>
  </si>
  <si>
    <t>Cinta bandit de 3/4"</t>
  </si>
  <si>
    <t>Curva pvc de 1-1/2"</t>
  </si>
  <si>
    <t>Hebilla de 3/4"</t>
  </si>
  <si>
    <t>Tubo IMC 1-1/2"</t>
  </si>
  <si>
    <t>Cable Cu THHN 1/0 Awg</t>
  </si>
  <si>
    <t>Cable Cu THNN 2 Awg</t>
  </si>
  <si>
    <t>Tubo PVC 1-1/2"</t>
  </si>
  <si>
    <t>Chazo y tornillo</t>
  </si>
  <si>
    <t>Interruptor enchufable 1 x 20 A.</t>
  </si>
  <si>
    <t>Interruptor enchufable 2 x 20 A.</t>
  </si>
  <si>
    <t>Interruptor riel 2 x 63 A.</t>
  </si>
  <si>
    <t>Riel din omega</t>
  </si>
  <si>
    <t>Tablero distribución trifásico 18 ctos. con espacio totalizador</t>
  </si>
  <si>
    <t>Cable Cu desnudo 8 Awg.</t>
  </si>
  <si>
    <t>Soldadura cadweld de 90</t>
  </si>
  <si>
    <t>Adaptador emt de 1/2"</t>
  </si>
  <si>
    <t>Cable Cu THNN 12 Awg</t>
  </si>
  <si>
    <t>Cable Cu THNN 14 Awg</t>
  </si>
  <si>
    <t>Cable encauchetado Cu THNN 3x14 Awg</t>
  </si>
  <si>
    <t>Caja rawelt rectangular 2x4 - 1/2"</t>
  </si>
  <si>
    <t>Conduleta de 1/2"</t>
  </si>
  <si>
    <t>Lámpara LED Antares 100W 220V</t>
  </si>
  <si>
    <t>Tomacorriente doble polo a tierra 120V</t>
  </si>
  <si>
    <t>Tubo EMT 1/2"</t>
  </si>
  <si>
    <t>Unión emt de 1/2"</t>
  </si>
  <si>
    <t>Accesorios para montaje de tubería pvc</t>
  </si>
  <si>
    <t>GLB/UN</t>
  </si>
  <si>
    <t>Adaptador pvc de 1/2"</t>
  </si>
  <si>
    <t>Caja pvc octogonal</t>
  </si>
  <si>
    <t>Curva pvc de 1/2"</t>
  </si>
  <si>
    <t>Lámpara tipo bala LED Downlight 22W 120V</t>
  </si>
  <si>
    <t>Tubo PVC 1/2"</t>
  </si>
  <si>
    <t>Unión pvc de 1/2"</t>
  </si>
  <si>
    <t>Lámpara de aplique muro 120V</t>
  </si>
  <si>
    <t>Switch interruptor sencillo</t>
  </si>
  <si>
    <t>Caja pvc rectangular 2x4</t>
  </si>
  <si>
    <t>Tomacorriente doble polo a tierra 220V</t>
  </si>
  <si>
    <t>Equipo hidroneumatico, incluye dos bombas centrifugas (Principal y reserva) de 2 HP, tanque hidroneumatico de 200 Litros</t>
  </si>
  <si>
    <t>Instalacion y suministro de canal metalico calibre 22 de 40x40 con anticorrosivo</t>
  </si>
  <si>
    <t>14.4 Cerramiento en tuberia de 2" y malla eslabonada calibre 10</t>
  </si>
  <si>
    <t>Cerramiento en tuberia de 2" y malla eslabonada calibre 10</t>
  </si>
  <si>
    <t>14.5 Pasamanos para graderia y tarima en tubo de 2" de diametro</t>
  </si>
  <si>
    <t xml:space="preserve">14.6 Portones de entrada en malla eslabonada Cal. 10 de 5x5cm, parales en tubo de 2" cal 5,5mm, Bastidores y refuerzos en angulo de 1/4"x3/16", pisa malla en platina de 1"x1/8" y acabado en pintura a base de aceite.  </t>
  </si>
  <si>
    <t>14.7 Instalacion y suministro de canal metalico calibre 22 de 40x40 con aplicación de anticorrosivo</t>
  </si>
  <si>
    <t>14.8 Ventana corrediza en aluminio natural ref. 50y vidrio 3 mm 1.5mx0.6m</t>
  </si>
  <si>
    <t>Anclaje a vigas diagonales</t>
  </si>
  <si>
    <t>14.9 Suministro e instalacion banca en acero inoxidable</t>
  </si>
  <si>
    <t>12.2 Puerta de emergencia en malla eslabonada de 3.2 m x 3 m</t>
  </si>
  <si>
    <t>Puerta de emergencia en malla eslabonada de 3.2 m x 3 m</t>
  </si>
  <si>
    <t>Graderia</t>
  </si>
  <si>
    <t>Placa de CIC contrapiso completa</t>
  </si>
  <si>
    <t>Baño oficina, bodega y zona de servicios</t>
  </si>
  <si>
    <t xml:space="preserve">Oficina </t>
  </si>
  <si>
    <t>Graderias en concreto de 3500 PSI</t>
  </si>
  <si>
    <t>Escaleras en concreto de 3500 PSI</t>
  </si>
  <si>
    <t>Viga aerea en concreto de 3500 PSI</t>
  </si>
  <si>
    <t>Hr/UND</t>
  </si>
  <si>
    <t>11.5 Lavamanos para colgar tipo Acuajet o equivalente para baño de discapacitados</t>
  </si>
  <si>
    <t xml:space="preserve">Lavamanos para mesón tipo Acuajet </t>
  </si>
  <si>
    <t>ADMINISTRACION 22%</t>
  </si>
  <si>
    <t>UTILIDAD 5%</t>
  </si>
  <si>
    <t>Costos almacenamiento</t>
  </si>
  <si>
    <t>Sistema de aseguramiento de calidad</t>
  </si>
  <si>
    <t>Copias, fotocopias y comunicaciones</t>
  </si>
  <si>
    <t xml:space="preserve">Marco polifuncional para microfutbol y baloncesto en tubo galvanizado tipo pesado de 2", incluye tablero en acrilico, aros, malla de baloncesto y cancha de microfutbol, anclado a piso funcionando correctamente  </t>
  </si>
  <si>
    <t>INTERVENTORIA</t>
  </si>
  <si>
    <t>TOTAL + INTERVENTORIA</t>
  </si>
  <si>
    <t>C3, C6, C4, C5</t>
  </si>
  <si>
    <t>_____________________________________
Firma</t>
  </si>
  <si>
    <t>OBSERVACIONES</t>
  </si>
  <si>
    <t>OBRAS A CARGO DEL MUNICIPIO</t>
  </si>
  <si>
    <t>CDP MUNICIPIO</t>
  </si>
  <si>
    <t>MINISTERIO</t>
  </si>
  <si>
    <t>INTERVENTORÍA</t>
  </si>
  <si>
    <t>PLACA CONMEMORATIVA Y LOGOTIPO CIC</t>
  </si>
  <si>
    <t>BAJO</t>
  </si>
  <si>
    <t>BAJA CANT</t>
  </si>
  <si>
    <t>BAJA VR</t>
  </si>
  <si>
    <t>ELIMINAR</t>
  </si>
  <si>
    <t>VER ENDURECEDOR</t>
  </si>
  <si>
    <t>ELIMINAR BAÑO OFICINA</t>
  </si>
  <si>
    <t>ELIM FLUXOM</t>
  </si>
  <si>
    <t>BAJO VALOR Y CANTIDAD</t>
  </si>
  <si>
    <t>ELIMINAR POR MAMPOSTERÍA</t>
  </si>
  <si>
    <t>PRECIO ALTO</t>
  </si>
  <si>
    <t>SON 4 DE 170000</t>
  </si>
  <si>
    <t>Instalacion y suministro de canal metalico calibre 22 de 40x40 con SOPORTE, anticorrosivo Y PINTURA</t>
  </si>
  <si>
    <t>BAJA CANT Y VR</t>
  </si>
  <si>
    <t>APROX 1,8 MLLS</t>
  </si>
  <si>
    <t>VER PRECIO CTE</t>
  </si>
  <si>
    <t>TENDER A CERO</t>
  </si>
  <si>
    <t>ADMINISTRATIVA</t>
  </si>
  <si>
    <t>CORREAS</t>
  </si>
  <si>
    <t>caa cara col</t>
  </si>
  <si>
    <t>2 caras</t>
  </si>
  <si>
    <t>son 12 col</t>
  </si>
  <si>
    <t>90x90x2,5mm</t>
  </si>
  <si>
    <t>90x90x3mm</t>
  </si>
  <si>
    <t>50x50x2mm</t>
  </si>
  <si>
    <t>Suministro e instalación SALIDA lámpara LED Antares 100W 220 V de sobreponer (incluye suministro e instalación de lámpara)</t>
  </si>
  <si>
    <t>RECOMENDACIÓN DE MUNICIPIO</t>
  </si>
  <si>
    <t>Tuberia de 4” pvc -SANITARIA para bajante de aguas lluvias + SOPORTE  + PINTURA</t>
  </si>
  <si>
    <t>VER SI SIRVE DE 1"</t>
  </si>
  <si>
    <t>ESMALTADO ENDURECEDOR SUPERFICIAL A BASE DE CUARZO</t>
  </si>
  <si>
    <t>Piso en concreto de 15 cm de espesor de 3000 PSI</t>
  </si>
  <si>
    <t>RECOMENDACIÓN DEL MUNICIPIO</t>
  </si>
  <si>
    <t>Rampas camerinos</t>
  </si>
  <si>
    <t>Rampa y escalera zona administrativa</t>
  </si>
  <si>
    <t>esmalte</t>
  </si>
  <si>
    <t>Complementos estructural</t>
  </si>
  <si>
    <t>Glb</t>
  </si>
  <si>
    <t>Placa Conmemorativa y Logotipo CIC</t>
  </si>
  <si>
    <t xml:space="preserve"> CONSULTORIA: CARLOS ALBERTOS ARMELLA CONTRERAS CC.72.244.421</t>
  </si>
  <si>
    <t xml:space="preserve"> CONSULTORIA: CARLOS ALBERTOS ARMELLA CONTRERAS CC.72.244.421
INTERVENTORIA PARA LA CONSTRUCCION DEL 
CENTRO DE INTEGRACION CIUDADANA 
 MUNICIPIO DE SALAMINA - MAGDALENA CIC</t>
  </si>
  <si>
    <t>MUNICIPIO DE SALAMINA - MAGDALENA</t>
  </si>
  <si>
    <t>MUNICIPIO DE SALAMINA -MAGDALENA</t>
  </si>
  <si>
    <t>MUNICIPIO DE SALAMINA  MAGDALENA</t>
  </si>
  <si>
    <t>CONSULTORIA: CARLOS ALBERTOS ARMELLA CONTRERAS CC.72.244.421</t>
  </si>
  <si>
    <t>PRESUPUESTO PROTOTIPO CIC VIGENCIA 2019</t>
  </si>
  <si>
    <t xml:space="preserve">INCREMENTO VALORES UNITARIOS </t>
  </si>
  <si>
    <t>UNID</t>
  </si>
  <si>
    <t>VR UNITARIO</t>
  </si>
  <si>
    <t>VR PARCIAL</t>
  </si>
  <si>
    <t>LOCALIZACION Y REPLANTEO, materializacion y control de ejes y niveles</t>
  </si>
  <si>
    <t>EXCLAVACIONES Y LLENOS</t>
  </si>
  <si>
    <t>EXCLAVACION MANUAL, en material sin clasificar para vigas, brecha de acueducto, alcantarillado y similares, remocion de derrumbes, entibados, control de aguas,cargue y retiro</t>
  </si>
  <si>
    <t>RELLENO COMPACTADO en material seleccionado proveniente de la excavación</t>
  </si>
  <si>
    <t>RELLENO COMPACTADO en material granular suministrado, nivelación y compactación</t>
  </si>
  <si>
    <t>CIMENTACION</t>
  </si>
  <si>
    <t>CONCRETO POBRE Concreto de limpieza (solado) esp 0,05m</t>
  </si>
  <si>
    <t>ZAPATAS de fundación, Incluye suministro, transporte y colocación de concreto preparado en obra, vibrado, protección, curado y todos los demás elementos necesarios para su correcta construcción según diseño. El acero de refuerzo se pagará por aparte en su respectivo ítem.</t>
  </si>
  <si>
    <t>VIGAS DE CIMENTACION, Incluye suministro, transporte y colocación de concreto preparado en obra, formaleta, vibrado, protección, curado y todos los demás elementos necesarios para su correcta construcción según diseñ. El acero de refuerzo se pagará por aparte en su respectivo ítem.</t>
  </si>
  <si>
    <t xml:space="preserve">ESTRUCTURA DE CONCRETO </t>
  </si>
  <si>
    <t>COLUMNAS, incluye suministro, transporte y colocación de concreto preparado en obra, formaleta, vibrado, protección, curado y todos los demás elementos necesarios para su correcta construcción según diseño.</t>
  </si>
  <si>
    <t>GRADERÍAS en concreto, incluye vigas aereas de gradería, escaleras de acceso, suministro, trasnporte y colocación de concreto preparado en obra, formaleta, vibrado, protección, curado y todos los demás elementos necesarios para su correcta construcción según diseño. el acero de refuerzo se pagará por aparte en su respectivo ítem</t>
  </si>
  <si>
    <t>LOSA DE TARIMA, en concreto, incluye vigas aereas, formaleta, vibrado, protección, curado y todos los demás elementos necesarios para su correcta construcción según diseño, para losa que será cubierta de oficina y piso de tarima. El acerode refuerzo se pagará por aparte en su respectivo ítem.</t>
  </si>
  <si>
    <t>NUEVO</t>
  </si>
  <si>
    <t>ESCALERAS en concreto incluye vigas aereas, formaleta, vibrado, proteción, curado y todos los demás elementos necesarios para su correcta construcción según diseño. El acero de refuerzo se pagará por aparte en su respectivo ítem.</t>
  </si>
  <si>
    <t>ACERO DE REFUERZO FY= 420 Mpa-60000 PSI, corrugado, incluye transporte con descarga, transporte interno, alambre de amarre, y todos los elementos necesarios para su correcta instalación, según diseño y recomendaciones estructurales</t>
  </si>
  <si>
    <t>kg</t>
  </si>
  <si>
    <t>MALLA ELECTROSOLDADA instalada, incluye transporte con descarga, transporte interno, alambre de amarre y todos los elementos necesarios para su correcta instalación, según diseño y recomendaciones extructurales.</t>
  </si>
  <si>
    <t>PLACAS DE PISO</t>
  </si>
  <si>
    <t>PLACA DE PISO esp. 0,10m para zona de cancha y aislamiento en concreto de 3000 psi, vibrado y curado, vaciado en cuadros de 4*3m, suministro y transporte de los materiales, nivelación del terreno y adecuación de la superficie, mano de obra y todos los demás elementos necesarios para su correcta construcción.</t>
  </si>
  <si>
    <t>PLACA DE PISO esp 0,08m piso general en concreto de 3000 psi., vibrado y curado, suministro y transporte de los materiales, nivelación del terreno y adecuación de la superficie, mano de obra</t>
  </si>
  <si>
    <t>ENDURECEDOR, recubrimiento de placa en concreto con endurecedor color para piso de la cnacha,5 a 7 k/m2, aplicación, curado y protección</t>
  </si>
  <si>
    <t>RAMPAS en concreto espesor 0,08-0,10m, estriada, juntas y dilataciones</t>
  </si>
  <si>
    <t>CUBIERTA</t>
  </si>
  <si>
    <t>ESTRUCTURA METÁLICA columnas y cerchas. Suministro, fabricación, transporte y montaje de columnas y cerchas en estructura metálica para soporte de cubierta. Incluye vigas de amarre, perlinería, templeros, riostras y todos los elementos necesarios para su correcta instalación según diseño y recomendaciones, anticorrosivo y pintura esmalte</t>
  </si>
  <si>
    <t>CUBIERTA en teja termoacústica 2mm, incluye accesorios y fijaciones</t>
  </si>
  <si>
    <t>CABALLETE de teja termoacústica 2mm, inlcuye accesorios y fijaciones</t>
  </si>
  <si>
    <t>m</t>
  </si>
  <si>
    <t>CANAL (canoa) en lámina galvanizada, incluye wash primer, anticorrosivo y pintura y soportes según diseño y reomendaciones estructurales</t>
  </si>
  <si>
    <t>BAJANTE DE AGUAS DE CUBIERTA en tubería PVC-SANITARIA, codos, abrazaderas y fijaciones</t>
  </si>
  <si>
    <t>SOSCO en lámina y tragante, incluye todos los elementos necesarios para su correcta instalación según diseño y recomendaciones técnicas</t>
  </si>
  <si>
    <t>MAMPOSTERÍAS</t>
  </si>
  <si>
    <t>MURO E= 10cms, en bloque de concreto, ranurado ambas caras a la vista, Incluye mortero 1:4 para pega y dovelas</t>
  </si>
  <si>
    <t>MURO DE BASE DE CERRAMIENTO altura 0,60, E=0,15, en bloque ed concreto ranurado ambas caras a la vista, incluye mortero de pega 1:4, relleno de celdas y remate superior en mortero.</t>
  </si>
  <si>
    <t>VIGUETAS de remate o confinamiento, concreto preparado en obra, formaleta, vibrado, protección y curado. El acero de refuerzo se pagará por aparte en su respectivo ítem</t>
  </si>
  <si>
    <t>COLUMNETAS de confinamiento, concreto preparado en obra, formaleta, vibrado, protección y curado. El acero de refuerzo se pagarápor aparte en su respectivo ítem</t>
  </si>
  <si>
    <t>ALFAJÍAS en concreto 0,115 a 0,25 x 0,07</t>
  </si>
  <si>
    <t>PAÑETE - revoque - en muros para enchape</t>
  </si>
  <si>
    <t xml:space="preserve">ENCHAPES MUROS  PISOS </t>
  </si>
  <si>
    <t>ENCHAPE DE MUROS de duchas de baldosin de porcelana, incluye cantos, lineales y cortes acolillados</t>
  </si>
  <si>
    <t>ENCHAPE DE PISO DE DUCHAS en baldosin antideslizante, incluye cantos, lineales y cortes acolillados</t>
  </si>
  <si>
    <t>PISOS AFINADO MORETERO ESMALTADO COLOR</t>
  </si>
  <si>
    <t>POCETA DE ASEO en mampostería/concreto, impermeabilizada y enchapada</t>
  </si>
  <si>
    <t>un</t>
  </si>
  <si>
    <t>MESÓN para lavamanos y/o banca en camerinos concreto acabado en granito pulido, ancho de 0,60m. Losa de 0,07m. Incluye formaleta y curado</t>
  </si>
  <si>
    <t>INSTALACIONES HIDRÁULICAS</t>
  </si>
  <si>
    <t>RED tubería PVC-P (3/4" A 1") RDE 21  Incluye excavación y/o canche y accesorios</t>
  </si>
  <si>
    <t>registros - VÁLVULAS - de 1" Incluye accesorios</t>
  </si>
  <si>
    <t>Un</t>
  </si>
  <si>
    <t>registros - VÁLVULAS - de 1/2" a 3/4" ,Incluye accesorios</t>
  </si>
  <si>
    <t>SALIDA SUMINISTRO en tubería PVC-P 1/2", Incluye; tubería, accesorios, cámara de aire, limpiador, soldadura, L= 0,50 a 2,00 m.</t>
  </si>
  <si>
    <t>SAL</t>
  </si>
  <si>
    <t>TAPA CAJILLA de registro en PVC, fijación y remate</t>
  </si>
  <si>
    <t>DESAGUES</t>
  </si>
  <si>
    <t>TUBERÍA PVC-S 04" sanitaria para aguas residuales o lluvias. Incluye suministroy transporte de los materiales, accesorios, soldadura, limpiador. La excavación y los llenos se pagarán en su ítem respectivo</t>
  </si>
  <si>
    <t>TUBERÍA PVC-S 04" (sanitaria) para aguas lluvias. Incluye accesorios, limpiador y soldadura, anclajes y elementos de soporte.</t>
  </si>
  <si>
    <t>TUBERÍA PVC-S 06" sanitaria para aguas residuales o lluvias. Incluye suministro y transporte de los materiales, accesorios, soldadura, limpiador. La excavación y los llenos se pagarán en su ítem respectivo</t>
  </si>
  <si>
    <t>SALIDA SANITARIA SIFÓN 02" para pisos, incluye accesorios.</t>
  </si>
  <si>
    <t>UN</t>
  </si>
  <si>
    <t>SALIDA SANITARIA SIFÓN O CODO 04" para pisos y sanitarios, incluye accesorios.</t>
  </si>
  <si>
    <t>CAJA DE INSPECCION 60x60cms h 90cm. Suministro y construcción de caja de inspección 0,60x0,60 h menor 90 cm, en concreto, incluye tapa de concreto con herraje, revoque liso impermeabilizado integralmente</t>
  </si>
  <si>
    <t>CÁRCAMO Y REJILLA en concreto, rejilla en varilla o reja de 5/8" liso.</t>
  </si>
  <si>
    <t>SALIDA SANITARIA PVC-S 0 2". Inlcuye todos los accesorios hasta el tpón de prueba, limpiador, soldadura y teflón, perforaciones (canchas) de paredes o pisos</t>
  </si>
  <si>
    <t>sal</t>
  </si>
  <si>
    <t>SALIDA SANITARIA PVC-S 04". Para sanitarios. Incluye todos los accesorios hasta el tapón de prueba, limpiador, soldadura y teflón, perforaciones (canchas) de paredes y pisos.</t>
  </si>
  <si>
    <t>INSTALACIONES ELECTRICAS</t>
  </si>
  <si>
    <t>MEDIDOR DE ENERGÍA incluye accesorios y todo lo necesario para su correcto funiconamiento según especificaciones del diseño eléctrico</t>
  </si>
  <si>
    <t>TABLEROS DE DISTRIBUCIÓN 24 circuitos, accesorios, fijación y configuración según especificaciones del diseño eléctrico</t>
  </si>
  <si>
    <t>TABLEROS DE DISTRIBUCIÓN 12 circuitos, accesorios, fijación y configuración según especificaciones del diseño eléctrico</t>
  </si>
  <si>
    <t>ACOMETIDA ELÉCTRICA (alimentador) a tablero T1 en ductería 3/4" a 1" en cable 3#8+8+8t</t>
  </si>
  <si>
    <t>ACOMETIDA ELÉCTRICA (alimentador) a tablero T2 en ductería 3/4" a 1" en cable 3#10+10+10t</t>
  </si>
  <si>
    <t>SALIDA ILUMINACIÓN en tubería EMT de 3/4" a 1" para circuitos de cancha, incluye accesorios, soportes y fijaciones</t>
  </si>
  <si>
    <t>pto</t>
  </si>
  <si>
    <t>SALIDA ILUMINACIÓN en tubería EMT de 3/4" a 1" para circuitos internos, incluye accesorios, soportes y fijaciones</t>
  </si>
  <si>
    <t>SALIDA ILUMINACIÓN en tubería EMT de 3/4" a 1" para uminarias de emergencia, incluye accesorios, soportes y fijaciones</t>
  </si>
  <si>
    <t>SALIDA INTERRUPTOR sencillo 15A</t>
  </si>
  <si>
    <t>SALIDA INTERRUPTOR doble 15A</t>
  </si>
  <si>
    <t>SALIDA INTERRUPTOR sencillo conmutable 15A</t>
  </si>
  <si>
    <t>SALIDA INTERRUPTOR dobles 15A en tubería PVC</t>
  </si>
  <si>
    <t>SALIDA TOMACORRIENTE GFCI 15A en tubería PVC</t>
  </si>
  <si>
    <t>SALIDA TOMACORRIENTE 220V</t>
  </si>
  <si>
    <t>LUMINARIAS LED 9-15W</t>
  </si>
  <si>
    <t>LUMINARIAS LED 20-30w, pantalla, tubos o aplique</t>
  </si>
  <si>
    <t>LUMINARIAS fluorescentes 2x32w chasis cerradi/difusor</t>
  </si>
  <si>
    <t>LUMINARIAS LED pantalla 30-50w, incluye toma, clavija y cable encauchetado</t>
  </si>
  <si>
    <t>REFLECTOR/campana LED 100-150w. Incluye toma , clavija y cable encauchetado.</t>
  </si>
  <si>
    <t>LÁMPARAS DE EMERGENCIA 120/12V, 90 minutos/soporte/cargador7batería. Incluye toma, clavija y cable encauchetado</t>
  </si>
  <si>
    <t>RED DE VOZ Y DATOS, salidas marquilladas y certificadas</t>
  </si>
  <si>
    <t>SALIDAS DE SONIDO en tubería oculta PVC 1/2" A 3/4", cable componentes</t>
  </si>
  <si>
    <t>PUESTA A TIERRA MEDIDOR, incluye barra cooperweld 5/8"x2,40com, caja de inspección, soldadura exotérmica, conectores y accesorios</t>
  </si>
  <si>
    <r>
      <rPr>
        <b/>
        <sz val="10"/>
        <color theme="1"/>
        <rFont val="Calibri"/>
        <family val="2"/>
        <scheme val="minor"/>
      </rPr>
      <t xml:space="preserve">SISTEMA DE APANTALLAMIENTO CONTRA DESCARGAS ATMÓSFERAS, </t>
    </r>
    <r>
      <rPr>
        <sz val="10"/>
        <color theme="1"/>
        <rFont val="Calibri"/>
        <family val="2"/>
        <scheme val="minor"/>
      </rPr>
      <t>puntas captadoras, bases y conectores, anillo en cable de aluminio No. 8. cable de cobre desnudo 7 hilos calibre 1/10 en tubería EMT 0 1" para bajantes, cajas de inspección y medición de resistenca, soldadura exotérmica abarras coperweld, conectores y accesorios, según especificaciones del diseño eléctrico.</t>
    </r>
  </si>
  <si>
    <t>12,23-1</t>
  </si>
  <si>
    <t>suministro e instalación de punta capadora DEHN</t>
  </si>
  <si>
    <t>5/8"0,6m AL + Base</t>
  </si>
  <si>
    <t>12,23-2</t>
  </si>
  <si>
    <t>suministro e instalación de soporte para punta captadora</t>
  </si>
  <si>
    <t>12,23-3</t>
  </si>
  <si>
    <t>suministro e instalación de alambron de Aluminio 8mm</t>
  </si>
  <si>
    <t>12,23-4</t>
  </si>
  <si>
    <t>suministro e instalación de soporte dehn snap PLASTICA h16 DE FIJACIÓN PARA CONDUCTOR 8MM</t>
  </si>
  <si>
    <t>Uun</t>
  </si>
  <si>
    <t>12,23-5</t>
  </si>
  <si>
    <t>suministro e instalación de tubería EMT DE 3/4"</t>
  </si>
  <si>
    <t>12,23-6</t>
  </si>
  <si>
    <t>suministro e instalación de cable de cobre1/0 AWG</t>
  </si>
  <si>
    <t>23,23-7</t>
  </si>
  <si>
    <t>suministro e instalación de grapa de sujección omega de 3/4".</t>
  </si>
  <si>
    <t>23,23-8</t>
  </si>
  <si>
    <t>suministro e instalación de varilla de cobre 2,4mts</t>
  </si>
  <si>
    <t>12,23-9</t>
  </si>
  <si>
    <t>suministro e instalación de caja de inspección 30x30x60</t>
  </si>
  <si>
    <t>12,23-10</t>
  </si>
  <si>
    <t>suministro e instalación de soldadura cadweld de 115 Gr.</t>
  </si>
  <si>
    <t>TRÁMITES Y CERTIFICACIÓN RETIE ante Operador Local de energía, revisión y Certificación RETIE, aprobación y conexión del servicio definitivo.</t>
  </si>
  <si>
    <t>glb</t>
  </si>
  <si>
    <t>APARTOS SANITARIOS</t>
  </si>
  <si>
    <t>SANITARIO linea blanca económica, grifería y accesorios, abasto y todos los demás elementos necesarios para su correcta instalación y funcionamiento</t>
  </si>
  <si>
    <t>LAVAMANOS linea blanca económica para mesón, grifería, accesorios, abasto y todos los demás elementos necesarios para su correcta instalación y funiconamiento</t>
  </si>
  <si>
    <t>ORINAL, linea blanca económica, grifería, accesorios, abasto y todos los elementos ncesarios para su correcta instalación y funcionamiento</t>
  </si>
  <si>
    <t>DUCHA, colocación de ducha línea económica, Incluye suministro y transporte de los materiales, regadera, grifería, accesorios y todos los demas elementos necesarios para su correcta istalación y funiconamiento</t>
  </si>
  <si>
    <t>JABONERA de porcelana, instalacion y emboquillado</t>
  </si>
  <si>
    <t>BARRA RECTA DE SEGURIDAD para discapacitados, longitud de 92 cm, diámetro de 1 1/4" en acero inoxidable. Incluye pernos para anclaje y escudos en acero inoxidable</t>
  </si>
  <si>
    <t xml:space="preserve">UN </t>
  </si>
  <si>
    <t>BARRA CURVA DE SEGURIDAD PLEGABLE para discapacitados, plegable, anclada a pared, diámetro de 1 1/4" en acero inoxidable. Incluye pernos para anclaje y escudos en acero inoxidable</t>
  </si>
  <si>
    <t>LLAVE TERMINAL, Grifo-Llave roscada-01/2" para poceta de aseo</t>
  </si>
  <si>
    <t xml:space="preserve">un </t>
  </si>
  <si>
    <t>REJILLA DE PISO 3-4" sosco</t>
  </si>
  <si>
    <t>ESPEJO biselado 4mm, pegante, soportes</t>
  </si>
  <si>
    <t>CARPINTERÍA METALICA</t>
  </si>
  <si>
    <t>BARANDA - pasamanos en graderías y rampas, en tubería tipo pesado en 2", parales y tubos horizontales según diseño, anclajes a piso, base, anticorrosivo y pintura.</t>
  </si>
  <si>
    <t>PUERTAS METÁLICAS de 3,00x2,90mts, en tubular cuadrado, según detalle, marco, soportes, anclajes, bisagras, pasador al piso, pasador central, portacandado y andado, anticorrosivo y pintura</t>
  </si>
  <si>
    <t>PUERTAS METÁLICAS 0,90 A 1,00m, en lámina según detalle, incluye marco, anticorrosivo, pintura, manijas, bisagras, cerradura</t>
  </si>
  <si>
    <t>PUERTAS METÁLICAS 0,60 a 0,90m, en lámina según detalle, marco, incluye anticorrosivo, pintura, manijas, bisagras y cerradura.</t>
  </si>
  <si>
    <t>VENTANERÍA Y/O PERSIANA en lámina, segpun detalle, incluye marco, anclajes, vidrio según diseño, anticorrosivo y pintura</t>
  </si>
  <si>
    <t>DIVISIONES DE DUCHAS/CABINAS SANITARIOS en lámina galvanizada, incluye soportes y anclajes, wash primer, anticorrosivo, base y pintura</t>
  </si>
  <si>
    <t>CERRAMIENTO EN MALLA eslabonada galvanizada, incluye soportes en tubería galvanizada y marcos en ángulo y platina según detalle</t>
  </si>
  <si>
    <t>PUERTA EN MALLA eslabonada galvanizada, soportes en tubería galvanizada de 2 1/2" marcos en ángulo y platina, pasadores y portacandados</t>
  </si>
  <si>
    <t>DEMARCACION Y METAS (CANCHA)</t>
  </si>
  <si>
    <t>DEMARCACIONPLACA POLIDEPORTIVA pintura tipo tráfico para demarcación reglamentada para baloncesto, voleibol, microfutbol y zona discapacitados</t>
  </si>
  <si>
    <t>ESTRUCTURAS INTEGRADAS PORTERÍA MICRO-FUTBOL, TABLERO DE BALONCESTO E IMPLEMENTOS DE VOLEIBOL.</t>
  </si>
  <si>
    <t>GLB</t>
  </si>
  <si>
    <t>gl</t>
  </si>
  <si>
    <t>COSTO DIRECTO OBRA</t>
  </si>
  <si>
    <t>A</t>
  </si>
  <si>
    <t>ADMINISTRACIÓN</t>
  </si>
  <si>
    <t>s/CD</t>
  </si>
  <si>
    <t>I</t>
  </si>
  <si>
    <t>IMPREVISTOS</t>
  </si>
  <si>
    <t>U</t>
  </si>
  <si>
    <t>UTILIDAD</t>
  </si>
  <si>
    <t>VALOR TOTAL OBRA</t>
  </si>
  <si>
    <t>%  SOBRE</t>
  </si>
  <si>
    <t>%SOBRE</t>
  </si>
  <si>
    <t>VALOR</t>
  </si>
  <si>
    <t>VALOR AJUSTADO A MILLONES DE $</t>
  </si>
  <si>
    <t>VALOR PREVISTO PARA LOS CONTRATOS DERIVADOS</t>
  </si>
  <si>
    <t>VR. OBRA</t>
  </si>
  <si>
    <t>VR. CONVENIO</t>
  </si>
  <si>
    <t>PRESUPUESTADO</t>
  </si>
  <si>
    <t>ESTUDIOS Y DISEÑO</t>
  </si>
  <si>
    <t>37,950,000</t>
  </si>
  <si>
    <t>INTERVENTORÍA ESTUDIOS Y DISEÑOS</t>
  </si>
  <si>
    <t>11,300,000</t>
  </si>
  <si>
    <t>OBRA</t>
  </si>
  <si>
    <t>850,651,014</t>
  </si>
  <si>
    <t>850,650,000</t>
  </si>
  <si>
    <t>INTERVENTORÍA OBRA</t>
  </si>
  <si>
    <t>59,545,571</t>
  </si>
  <si>
    <t>59,500,000</t>
  </si>
  <si>
    <t>VR TOTAL CONVENIO</t>
  </si>
  <si>
    <t>959,446,585</t>
  </si>
  <si>
    <t>959,400,000</t>
  </si>
  <si>
    <t>INCREMENTO 3017/2016</t>
  </si>
  <si>
    <t xml:space="preserve">COMPONENTE </t>
  </si>
  <si>
    <t>Vr/2017</t>
  </si>
  <si>
    <t>icreme %</t>
  </si>
  <si>
    <t xml:space="preserve">  JUNIO 2019</t>
  </si>
  <si>
    <r>
      <t>PRESUPUESTO OBRA</t>
    </r>
    <r>
      <rPr>
        <sz val="10"/>
        <color rgb="FF000000"/>
        <rFont val="Arial"/>
        <family val="2"/>
      </rPr>
      <t>  </t>
    </r>
  </si>
  <si>
    <r>
      <t>INTERVENTORÍAS DE OBRA</t>
    </r>
    <r>
      <rPr>
        <sz val="10"/>
        <color rgb="FF000000"/>
        <rFont val="Arial"/>
        <family val="2"/>
      </rPr>
      <t>  </t>
    </r>
  </si>
  <si>
    <t>ESTUDIOS Y DISEÑOS</t>
  </si>
  <si>
    <t xml:space="preserve"> INTERVENTORÌA A ESTUDIOS Y DISEÑOS</t>
  </si>
  <si>
    <t>VALOR TOTAL DEL PROYECTO</t>
  </si>
  <si>
    <t>Lote CIC Salamina</t>
  </si>
  <si>
    <t>MUNICIPIO DE SALAMINA-MAGDALENA</t>
  </si>
  <si>
    <t>ADMINISTRACION 23,45%</t>
  </si>
  <si>
    <t>IMPREVISTOS 1,55%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</si>
</sst>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7" formatCode="&quot;$&quot;\ #,##0.00_);\(&quot;$&quot;\ #,##0.00\)"/>
    <numFmt numFmtId="44" formatCode="_(&quot;$&quot;\ * #,##0.00_);_(&quot;$&quot;\ * \(#,##0.00\);_(&quot;$&quot;\ 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-&quot;$&quot;\ * #,##0_-;\-&quot;$&quot;\ * #,##0_-;_-&quot;$&quot;\ * &quot;-&quot;_-;_-@_-"/>
    <numFmt numFmtId="168" formatCode="#,##0.00\ &quot;€&quot;;[Red]\-#,##0.00\ &quot;€&quot;"/>
    <numFmt numFmtId="169" formatCode="_-* #,##0\ _€_-;\-* #,##0\ _€_-;_-* &quot;-&quot;\ _€_-;_-@_-"/>
    <numFmt numFmtId="170" formatCode="_-* #,##0.00\ _€_-;\-* #,##0.00\ _€_-;_-* &quot;-&quot;??\ _€_-;_-@_-"/>
    <numFmt numFmtId="171" formatCode="###,##0.00\ "/>
    <numFmt numFmtId="172" formatCode="[$€]#,##0"/>
    <numFmt numFmtId="173" formatCode="_ [$€-2]\ * #,##0.00_ ;_ [$€-2]\ * \-#,##0.00_ ;_ [$€-2]\ * &quot;-&quot;??_ "/>
    <numFmt numFmtId="174" formatCode="[$$-240A]\ #,##0.00"/>
    <numFmt numFmtId="175" formatCode="_ * #,##0.00_ ;_ * \-#,##0.00_ ;_ * &quot;-&quot;??_ ;_ @_ "/>
    <numFmt numFmtId="176" formatCode="_-* #,##0.0\ _€_-;\-* #,##0.0\ _€_-;_-* &quot;-&quot;??\ _€_-;_-@_-"/>
    <numFmt numFmtId="177" formatCode="0.0"/>
    <numFmt numFmtId="178" formatCode="_-* #,##0.0_-;\-* #,##0.0_-;_-* &quot;-&quot;??_-;_-@_-"/>
    <numFmt numFmtId="179" formatCode="_(* #,##0_);_(* \(#,##0\);_(* &quot;-&quot;??_);_(@_)"/>
    <numFmt numFmtId="180" formatCode="_-* #,##0_-;\-* #,##0_-;_-* &quot;-&quot;??_-;_-@_-"/>
    <numFmt numFmtId="181" formatCode="_-* #,##0.0000_-;\-* #,##0.0000_-;_-* &quot;-&quot;??_-;_-@_-"/>
    <numFmt numFmtId="182" formatCode="_-* #,##0.000_-;\-* #,##0.000_-;_-* &quot;-&quot;??_-;_-@_-"/>
    <numFmt numFmtId="183" formatCode="_-* #,##0.00_-;\-* #,##0.00_-;_-* &quot;-&quot;_-;_-@_-"/>
    <numFmt numFmtId="184" formatCode="_ [$$-240A]\ * #,##0.00_ ;_ [$$-240A]\ * \-#,##0.00_ ;_ [$$-240A]\ * &quot;-&quot;??_ ;_ @_ "/>
    <numFmt numFmtId="185" formatCode="#,##0.00_ ;\-#,##0.00\ "/>
    <numFmt numFmtId="186" formatCode="#,##0_ ;\-#,##0\ "/>
    <numFmt numFmtId="187" formatCode="_-* #,##0.00000_-;\-* #,##0.00000_-;_-* &quot;-&quot;?_-;_-@_-"/>
    <numFmt numFmtId="188" formatCode="_-* #,##0.000000_-;\-* #,##0.000000_-;_-* &quot;-&quot;?_-;_-@_-"/>
    <numFmt numFmtId="189" formatCode="0.000"/>
    <numFmt numFmtId="190" formatCode="0.0%"/>
    <numFmt numFmtId="191" formatCode="_-[$$-240A]\ * #,##0.00_-;\-[$$-240A]\ * #,##0.00_-;_-[$$-240A]\ * &quot;-&quot;??_-;_-@_-"/>
    <numFmt numFmtId="192" formatCode="_ [$$-240A]\ * #,##0.0_ ;_ [$$-240A]\ * \-#,##0.0_ ;_ [$$-240A]\ * &quot;-&quot;??_ ;_ @_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Helv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sz val="11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1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4" fillId="0" borderId="0"/>
    <xf numFmtId="4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7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>
      <alignment vertical="top"/>
    </xf>
    <xf numFmtId="0" fontId="7" fillId="0" borderId="0" applyNumberFormat="0">
      <alignment horizontal="left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80">
    <xf numFmtId="0" fontId="0" fillId="0" borderId="0" xfId="0"/>
    <xf numFmtId="0" fontId="8" fillId="0" borderId="0" xfId="0" applyFont="1"/>
    <xf numFmtId="0" fontId="9" fillId="3" borderId="1" xfId="2" applyFont="1" applyFill="1" applyBorder="1" applyAlignment="1">
      <alignment horizontal="left" vertical="center" wrapText="1"/>
    </xf>
    <xf numFmtId="171" fontId="3" fillId="3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71" fontId="3" fillId="0" borderId="1" xfId="2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/>
    </xf>
    <xf numFmtId="178" fontId="10" fillId="0" borderId="0" xfId="1" applyNumberFormat="1" applyFont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180" fontId="3" fillId="0" borderId="1" xfId="1" applyNumberFormat="1" applyFont="1" applyFill="1" applyBorder="1" applyAlignment="1">
      <alignment horizontal="left" vertical="center" wrapText="1"/>
    </xf>
    <xf numFmtId="180" fontId="10" fillId="0" borderId="1" xfId="1" applyNumberFormat="1" applyFont="1" applyBorder="1" applyAlignment="1">
      <alignment horizontal="left"/>
    </xf>
    <xf numFmtId="0" fontId="12" fillId="0" borderId="0" xfId="0" applyFont="1" applyAlignment="1">
      <alignment wrapText="1"/>
    </xf>
    <xf numFmtId="0" fontId="12" fillId="0" borderId="0" xfId="0" applyFont="1"/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right"/>
    </xf>
    <xf numFmtId="0" fontId="13" fillId="6" borderId="5" xfId="0" applyFont="1" applyFill="1" applyBorder="1" applyAlignment="1">
      <alignment wrapText="1"/>
    </xf>
    <xf numFmtId="0" fontId="9" fillId="6" borderId="0" xfId="0" applyFont="1" applyFill="1" applyBorder="1" applyAlignment="1">
      <alignment horizontal="center"/>
    </xf>
    <xf numFmtId="0" fontId="12" fillId="0" borderId="7" xfId="0" applyFont="1" applyBorder="1" applyAlignment="1">
      <alignment wrapText="1"/>
    </xf>
    <xf numFmtId="0" fontId="12" fillId="0" borderId="8" xfId="0" applyFont="1" applyBorder="1"/>
    <xf numFmtId="0" fontId="9" fillId="0" borderId="10" xfId="0" applyFont="1" applyBorder="1" applyAlignment="1">
      <alignment wrapText="1"/>
    </xf>
    <xf numFmtId="0" fontId="9" fillId="0" borderId="11" xfId="0" applyFont="1" applyBorder="1" applyAlignment="1">
      <alignment horizontal="right"/>
    </xf>
    <xf numFmtId="0" fontId="14" fillId="0" borderId="5" xfId="0" applyFont="1" applyBorder="1" applyAlignment="1">
      <alignment wrapText="1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2" fillId="0" borderId="3" xfId="0" applyFont="1" applyBorder="1"/>
    <xf numFmtId="0" fontId="12" fillId="0" borderId="13" xfId="0" applyFont="1" applyBorder="1" applyAlignment="1">
      <alignment wrapText="1"/>
    </xf>
    <xf numFmtId="0" fontId="12" fillId="0" borderId="14" xfId="0" applyFont="1" applyBorder="1"/>
    <xf numFmtId="0" fontId="13" fillId="0" borderId="2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/>
    </xf>
    <xf numFmtId="0" fontId="12" fillId="0" borderId="7" xfId="0" applyFont="1" applyFill="1" applyBorder="1" applyAlignment="1">
      <alignment wrapText="1"/>
    </xf>
    <xf numFmtId="0" fontId="12" fillId="0" borderId="8" xfId="0" applyFont="1" applyFill="1" applyBorder="1" applyAlignment="1">
      <alignment horizontal="center"/>
    </xf>
    <xf numFmtId="0" fontId="12" fillId="0" borderId="8" xfId="0" applyFont="1" applyFill="1" applyBorder="1" applyAlignment="1">
      <alignment wrapText="1"/>
    </xf>
    <xf numFmtId="0" fontId="12" fillId="0" borderId="8" xfId="0" applyFont="1" applyFill="1" applyBorder="1"/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 wrapText="1"/>
    </xf>
    <xf numFmtId="0" fontId="14" fillId="0" borderId="5" xfId="0" applyFont="1" applyFill="1" applyBorder="1" applyAlignment="1">
      <alignment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2" fontId="12" fillId="0" borderId="0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12" fillId="0" borderId="3" xfId="0" applyFont="1" applyFill="1" applyBorder="1"/>
    <xf numFmtId="0" fontId="12" fillId="0" borderId="3" xfId="0" applyFont="1" applyFill="1" applyBorder="1" applyAlignment="1">
      <alignment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/>
    <xf numFmtId="0" fontId="12" fillId="0" borderId="14" xfId="0" applyFont="1" applyFill="1" applyBorder="1" applyAlignment="1">
      <alignment wrapText="1"/>
    </xf>
    <xf numFmtId="181" fontId="12" fillId="0" borderId="0" xfId="1" applyNumberFormat="1" applyFont="1" applyFill="1" applyBorder="1" applyAlignment="1">
      <alignment wrapText="1"/>
    </xf>
    <xf numFmtId="166" fontId="12" fillId="0" borderId="0" xfId="0" applyNumberFormat="1" applyFont="1"/>
    <xf numFmtId="180" fontId="10" fillId="0" borderId="1" xfId="1" applyNumberFormat="1" applyFont="1" applyFill="1" applyBorder="1" applyAlignment="1">
      <alignment horizontal="left"/>
    </xf>
    <xf numFmtId="0" fontId="10" fillId="0" borderId="21" xfId="0" applyFont="1" applyBorder="1" applyAlignment="1">
      <alignment horizontal="left" wrapText="1"/>
    </xf>
    <xf numFmtId="0" fontId="10" fillId="0" borderId="21" xfId="0" applyFont="1" applyBorder="1" applyAlignment="1">
      <alignment horizontal="left"/>
    </xf>
    <xf numFmtId="180" fontId="10" fillId="0" borderId="21" xfId="1" applyNumberFormat="1" applyFont="1" applyBorder="1" applyAlignment="1">
      <alignment horizontal="left"/>
    </xf>
    <xf numFmtId="178" fontId="10" fillId="0" borderId="16" xfId="1" applyNumberFormat="1" applyFont="1" applyBorder="1" applyAlignment="1">
      <alignment horizontal="center"/>
    </xf>
    <xf numFmtId="178" fontId="10" fillId="0" borderId="18" xfId="1" applyNumberFormat="1" applyFont="1" applyBorder="1" applyAlignment="1">
      <alignment horizontal="center"/>
    </xf>
    <xf numFmtId="0" fontId="10" fillId="0" borderId="19" xfId="0" applyFont="1" applyBorder="1" applyAlignment="1">
      <alignment horizontal="left" wrapText="1"/>
    </xf>
    <xf numFmtId="0" fontId="10" fillId="0" borderId="19" xfId="0" applyFont="1" applyBorder="1" applyAlignment="1">
      <alignment horizontal="left"/>
    </xf>
    <xf numFmtId="178" fontId="9" fillId="3" borderId="16" xfId="1" applyNumberFormat="1" applyFont="1" applyFill="1" applyBorder="1" applyAlignment="1">
      <alignment vertical="center" wrapText="1"/>
    </xf>
    <xf numFmtId="171" fontId="3" fillId="3" borderId="17" xfId="2" applyNumberFormat="1" applyFont="1" applyFill="1" applyBorder="1" applyAlignment="1">
      <alignment horizontal="left" vertical="center" wrapText="1"/>
    </xf>
    <xf numFmtId="178" fontId="3" fillId="0" borderId="16" xfId="1" applyNumberFormat="1" applyFont="1" applyFill="1" applyBorder="1" applyAlignment="1">
      <alignment vertical="center" wrapText="1"/>
    </xf>
    <xf numFmtId="178" fontId="10" fillId="0" borderId="16" xfId="1" applyNumberFormat="1" applyFont="1" applyBorder="1" applyAlignment="1"/>
    <xf numFmtId="178" fontId="11" fillId="3" borderId="16" xfId="1" applyNumberFormat="1" applyFont="1" applyFill="1" applyBorder="1" applyAlignment="1">
      <alignment vertical="center"/>
    </xf>
    <xf numFmtId="0" fontId="10" fillId="3" borderId="17" xfId="0" applyFont="1" applyFill="1" applyBorder="1" applyAlignment="1">
      <alignment horizontal="left"/>
    </xf>
    <xf numFmtId="178" fontId="11" fillId="3" borderId="16" xfId="1" applyNumberFormat="1" applyFont="1" applyFill="1" applyBorder="1" applyAlignment="1">
      <alignment horizontal="center"/>
    </xf>
    <xf numFmtId="166" fontId="10" fillId="0" borderId="16" xfId="1" applyNumberFormat="1" applyFont="1" applyBorder="1" applyAlignment="1">
      <alignment horizontal="center"/>
    </xf>
    <xf numFmtId="178" fontId="10" fillId="0" borderId="16" xfId="1" applyNumberFormat="1" applyFont="1" applyFill="1" applyBorder="1" applyAlignment="1">
      <alignment horizontal="center"/>
    </xf>
    <xf numFmtId="180" fontId="10" fillId="0" borderId="17" xfId="0" applyNumberFormat="1" applyFont="1" applyFill="1" applyBorder="1" applyAlignment="1">
      <alignment horizontal="left"/>
    </xf>
    <xf numFmtId="166" fontId="10" fillId="0" borderId="16" xfId="1" applyNumberFormat="1" applyFont="1" applyFill="1" applyBorder="1" applyAlignment="1">
      <alignment horizontal="center"/>
    </xf>
    <xf numFmtId="180" fontId="10" fillId="0" borderId="17" xfId="1" applyNumberFormat="1" applyFont="1" applyFill="1" applyBorder="1" applyAlignment="1">
      <alignment horizontal="left"/>
    </xf>
    <xf numFmtId="178" fontId="10" fillId="0" borderId="25" xfId="1" applyNumberFormat="1" applyFont="1" applyBorder="1" applyAlignment="1">
      <alignment horizontal="center"/>
    </xf>
    <xf numFmtId="178" fontId="10" fillId="0" borderId="24" xfId="1" applyNumberFormat="1" applyFont="1" applyBorder="1" applyAlignment="1">
      <alignment horizontal="left"/>
    </xf>
    <xf numFmtId="178" fontId="10" fillId="0" borderId="17" xfId="1" applyNumberFormat="1" applyFont="1" applyBorder="1" applyAlignment="1">
      <alignment horizontal="left"/>
    </xf>
    <xf numFmtId="178" fontId="10" fillId="0" borderId="20" xfId="0" applyNumberFormat="1" applyFont="1" applyBorder="1" applyAlignment="1">
      <alignment horizontal="left"/>
    </xf>
    <xf numFmtId="182" fontId="12" fillId="0" borderId="0" xfId="1" applyNumberFormat="1" applyFont="1" applyFill="1" applyBorder="1" applyAlignment="1">
      <alignment wrapText="1"/>
    </xf>
    <xf numFmtId="0" fontId="12" fillId="0" borderId="0" xfId="0" applyFont="1" applyFill="1"/>
    <xf numFmtId="2" fontId="12" fillId="0" borderId="0" xfId="0" applyNumberFormat="1" applyFont="1" applyFill="1" applyBorder="1"/>
    <xf numFmtId="166" fontId="12" fillId="0" borderId="0" xfId="0" applyNumberFormat="1" applyFont="1" applyFill="1" applyBorder="1"/>
    <xf numFmtId="3" fontId="12" fillId="0" borderId="0" xfId="0" applyNumberFormat="1" applyFont="1" applyFill="1" applyBorder="1"/>
    <xf numFmtId="180" fontId="12" fillId="0" borderId="0" xfId="1" applyNumberFormat="1" applyFont="1" applyFill="1" applyBorder="1"/>
    <xf numFmtId="178" fontId="12" fillId="0" borderId="0" xfId="1" applyNumberFormat="1" applyFont="1" applyFill="1" applyBorder="1"/>
    <xf numFmtId="0" fontId="12" fillId="0" borderId="0" xfId="0" applyFont="1" applyFill="1" applyAlignment="1">
      <alignment wrapText="1"/>
    </xf>
    <xf numFmtId="0" fontId="12" fillId="0" borderId="1" xfId="0" applyFont="1" applyBorder="1"/>
    <xf numFmtId="0" fontId="15" fillId="0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12" fillId="0" borderId="5" xfId="0" applyFont="1" applyBorder="1" applyAlignment="1"/>
    <xf numFmtId="180" fontId="10" fillId="0" borderId="26" xfId="0" applyNumberFormat="1" applyFont="1" applyBorder="1" applyAlignment="1">
      <alignment horizontal="left"/>
    </xf>
    <xf numFmtId="180" fontId="10" fillId="0" borderId="17" xfId="0" applyNumberFormat="1" applyFont="1" applyBorder="1" applyAlignment="1">
      <alignment horizontal="left"/>
    </xf>
    <xf numFmtId="0" fontId="8" fillId="0" borderId="0" xfId="0" applyFont="1"/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165" fontId="14" fillId="0" borderId="30" xfId="58" applyFont="1" applyBorder="1" applyAlignment="1">
      <alignment horizontal="center" vertical="center"/>
    </xf>
    <xf numFmtId="0" fontId="13" fillId="2" borderId="3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vertical="center" wrapText="1"/>
    </xf>
    <xf numFmtId="0" fontId="17" fillId="0" borderId="18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/>
    </xf>
    <xf numFmtId="2" fontId="17" fillId="0" borderId="16" xfId="0" applyNumberFormat="1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77" fontId="17" fillId="0" borderId="18" xfId="0" applyNumberFormat="1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3" fillId="2" borderId="29" xfId="0" applyFont="1" applyFill="1" applyBorder="1" applyAlignment="1">
      <alignment vertical="center" wrapText="1"/>
    </xf>
    <xf numFmtId="0" fontId="10" fillId="0" borderId="37" xfId="0" applyFont="1" applyFill="1" applyBorder="1" applyAlignment="1">
      <alignment vertical="center" wrapText="1"/>
    </xf>
    <xf numFmtId="0" fontId="17" fillId="0" borderId="35" xfId="0" applyFont="1" applyFill="1" applyBorder="1" applyAlignment="1">
      <alignment vertical="center" wrapText="1"/>
    </xf>
    <xf numFmtId="0" fontId="17" fillId="0" borderId="36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178" fontId="10" fillId="0" borderId="26" xfId="1" applyNumberFormat="1" applyFont="1" applyBorder="1" applyAlignment="1">
      <alignment horizontal="left"/>
    </xf>
    <xf numFmtId="0" fontId="17" fillId="0" borderId="41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177" fontId="17" fillId="0" borderId="40" xfId="0" applyNumberFormat="1" applyFont="1" applyFill="1" applyBorder="1" applyAlignment="1">
      <alignment horizontal="right" vertical="center" wrapText="1"/>
    </xf>
    <xf numFmtId="2" fontId="17" fillId="0" borderId="40" xfId="0" applyNumberFormat="1" applyFont="1" applyFill="1" applyBorder="1" applyAlignment="1">
      <alignment horizontal="right" vertical="center" wrapText="1"/>
    </xf>
    <xf numFmtId="183" fontId="3" fillId="0" borderId="23" xfId="59" applyNumberFormat="1" applyFont="1" applyFill="1" applyBorder="1" applyAlignment="1">
      <alignment vertical="center" wrapText="1"/>
    </xf>
    <xf numFmtId="183" fontId="3" fillId="0" borderId="23" xfId="59" applyNumberFormat="1" applyFont="1" applyFill="1" applyBorder="1" applyAlignment="1">
      <alignment horizontal="center" vertical="center"/>
    </xf>
    <xf numFmtId="164" fontId="3" fillId="0" borderId="23" xfId="59" applyNumberFormat="1" applyFont="1" applyFill="1" applyBorder="1" applyAlignment="1">
      <alignment horizontal="center" vertical="center"/>
    </xf>
    <xf numFmtId="183" fontId="9" fillId="0" borderId="23" xfId="59" applyNumberFormat="1" applyFont="1" applyFill="1" applyBorder="1" applyAlignment="1">
      <alignment horizontal="center" vertical="center"/>
    </xf>
    <xf numFmtId="183" fontId="3" fillId="0" borderId="1" xfId="59" applyNumberFormat="1" applyFont="1" applyFill="1" applyBorder="1" applyAlignment="1">
      <alignment vertical="center" wrapText="1"/>
    </xf>
    <xf numFmtId="183" fontId="3" fillId="0" borderId="1" xfId="59" applyNumberFormat="1" applyFont="1" applyFill="1" applyBorder="1" applyAlignment="1">
      <alignment horizontal="center" vertical="center"/>
    </xf>
    <xf numFmtId="164" fontId="3" fillId="0" borderId="1" xfId="59" applyNumberFormat="1" applyFont="1" applyFill="1" applyBorder="1" applyAlignment="1">
      <alignment horizontal="center" vertical="center"/>
    </xf>
    <xf numFmtId="183" fontId="9" fillId="0" borderId="1" xfId="59" applyNumberFormat="1" applyFont="1" applyFill="1" applyBorder="1" applyAlignment="1">
      <alignment horizontal="center" vertical="center"/>
    </xf>
    <xf numFmtId="183" fontId="3" fillId="0" borderId="19" xfId="59" applyNumberFormat="1" applyFont="1" applyFill="1" applyBorder="1" applyAlignment="1">
      <alignment vertical="center" wrapText="1"/>
    </xf>
    <xf numFmtId="183" fontId="3" fillId="0" borderId="19" xfId="59" applyNumberFormat="1" applyFont="1" applyFill="1" applyBorder="1" applyAlignment="1">
      <alignment horizontal="center" vertical="center"/>
    </xf>
    <xf numFmtId="164" fontId="3" fillId="0" borderId="19" xfId="59" applyNumberFormat="1" applyFont="1" applyFill="1" applyBorder="1" applyAlignment="1">
      <alignment horizontal="center" vertical="center"/>
    </xf>
    <xf numFmtId="183" fontId="9" fillId="0" borderId="19" xfId="59" applyNumberFormat="1" applyFont="1" applyFill="1" applyBorder="1" applyAlignment="1">
      <alignment horizontal="center" vertical="center"/>
    </xf>
    <xf numFmtId="183" fontId="3" fillId="0" borderId="36" xfId="59" applyNumberFormat="1" applyFont="1" applyFill="1" applyBorder="1" applyAlignment="1">
      <alignment vertical="center" wrapText="1"/>
    </xf>
    <xf numFmtId="183" fontId="3" fillId="0" borderId="36" xfId="59" applyNumberFormat="1" applyFont="1" applyFill="1" applyBorder="1" applyAlignment="1">
      <alignment horizontal="center" vertical="center"/>
    </xf>
    <xf numFmtId="164" fontId="3" fillId="0" borderId="36" xfId="59" applyNumberFormat="1" applyFont="1" applyFill="1" applyBorder="1" applyAlignment="1">
      <alignment horizontal="center" vertical="center"/>
    </xf>
    <xf numFmtId="183" fontId="0" fillId="0" borderId="0" xfId="0" applyNumberFormat="1" applyAlignment="1">
      <alignment vertical="center"/>
    </xf>
    <xf numFmtId="0" fontId="3" fillId="0" borderId="24" xfId="0" applyFont="1" applyFill="1" applyBorder="1" applyAlignment="1">
      <alignment vertical="center" wrapText="1"/>
    </xf>
    <xf numFmtId="177" fontId="17" fillId="0" borderId="16" xfId="0" applyNumberFormat="1" applyFont="1" applyFill="1" applyBorder="1" applyAlignment="1">
      <alignment vertical="center" wrapText="1"/>
    </xf>
    <xf numFmtId="183" fontId="9" fillId="0" borderId="36" xfId="59" applyNumberFormat="1" applyFont="1" applyFill="1" applyBorder="1" applyAlignment="1">
      <alignment horizontal="center" vertical="center"/>
    </xf>
    <xf numFmtId="12" fontId="0" fillId="0" borderId="0" xfId="0" applyNumberFormat="1" applyAlignment="1">
      <alignment vertical="center"/>
    </xf>
    <xf numFmtId="2" fontId="17" fillId="0" borderId="16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166" fontId="12" fillId="0" borderId="0" xfId="0" applyNumberFormat="1" applyFont="1" applyBorder="1"/>
    <xf numFmtId="0" fontId="15" fillId="0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2" fontId="10" fillId="0" borderId="1" xfId="0" applyNumberFormat="1" applyFont="1" applyBorder="1" applyAlignment="1">
      <alignment horizontal="left"/>
    </xf>
    <xf numFmtId="2" fontId="10" fillId="0" borderId="1" xfId="0" applyNumberFormat="1" applyFont="1" applyFill="1" applyBorder="1" applyAlignment="1">
      <alignment horizontal="left"/>
    </xf>
    <xf numFmtId="166" fontId="12" fillId="0" borderId="0" xfId="1" applyFont="1"/>
    <xf numFmtId="166" fontId="12" fillId="0" borderId="4" xfId="1" applyFont="1" applyBorder="1"/>
    <xf numFmtId="166" fontId="12" fillId="6" borderId="6" xfId="1" applyFont="1" applyFill="1" applyBorder="1"/>
    <xf numFmtId="166" fontId="12" fillId="0" borderId="9" xfId="1" applyFont="1" applyBorder="1"/>
    <xf numFmtId="166" fontId="9" fillId="0" borderId="12" xfId="1" applyFont="1" applyBorder="1" applyAlignment="1">
      <alignment horizontal="right"/>
    </xf>
    <xf numFmtId="166" fontId="12" fillId="0" borderId="6" xfId="1" applyFont="1" applyBorder="1"/>
    <xf numFmtId="166" fontId="12" fillId="0" borderId="15" xfId="1" applyFont="1" applyBorder="1"/>
    <xf numFmtId="166" fontId="12" fillId="2" borderId="6" xfId="1" applyFont="1" applyFill="1" applyBorder="1"/>
    <xf numFmtId="166" fontId="12" fillId="0" borderId="4" xfId="1" applyFont="1" applyFill="1" applyBorder="1"/>
    <xf numFmtId="166" fontId="12" fillId="0" borderId="9" xfId="1" applyFont="1" applyFill="1" applyBorder="1"/>
    <xf numFmtId="166" fontId="9" fillId="0" borderId="12" xfId="1" applyFont="1" applyFill="1" applyBorder="1" applyAlignment="1">
      <alignment horizontal="right"/>
    </xf>
    <xf numFmtId="166" fontId="12" fillId="0" borderId="6" xfId="1" applyFont="1" applyFill="1" applyBorder="1"/>
    <xf numFmtId="166" fontId="12" fillId="0" borderId="15" xfId="1" applyFont="1" applyFill="1" applyBorder="1"/>
    <xf numFmtId="166" fontId="12" fillId="0" borderId="0" xfId="1" applyFont="1" applyBorder="1"/>
    <xf numFmtId="166" fontId="12" fillId="0" borderId="17" xfId="1" applyFont="1" applyFill="1" applyBorder="1"/>
    <xf numFmtId="166" fontId="19" fillId="0" borderId="17" xfId="1" quotePrefix="1" applyFont="1" applyFill="1" applyBorder="1" applyAlignment="1">
      <alignment horizontal="center" vertical="center" wrapText="1"/>
    </xf>
    <xf numFmtId="166" fontId="12" fillId="0" borderId="17" xfId="1" applyFont="1" applyBorder="1"/>
    <xf numFmtId="0" fontId="12" fillId="0" borderId="19" xfId="0" applyFont="1" applyBorder="1"/>
    <xf numFmtId="0" fontId="12" fillId="0" borderId="18" xfId="0" applyFont="1" applyBorder="1" applyAlignment="1">
      <alignment wrapText="1"/>
    </xf>
    <xf numFmtId="0" fontId="0" fillId="0" borderId="1" xfId="0" applyBorder="1"/>
    <xf numFmtId="0" fontId="21" fillId="0" borderId="1" xfId="0" applyFont="1" applyBorder="1"/>
    <xf numFmtId="179" fontId="0" fillId="0" borderId="1" xfId="1" applyNumberFormat="1" applyFont="1" applyBorder="1"/>
    <xf numFmtId="179" fontId="0" fillId="0" borderId="1" xfId="0" applyNumberFormat="1" applyBorder="1"/>
    <xf numFmtId="179" fontId="0" fillId="0" borderId="0" xfId="1" applyNumberFormat="1" applyFont="1"/>
    <xf numFmtId="10" fontId="0" fillId="0" borderId="1" xfId="45" applyNumberFormat="1" applyFont="1" applyBorder="1"/>
    <xf numFmtId="10" fontId="0" fillId="0" borderId="0" xfId="0" applyNumberFormat="1"/>
    <xf numFmtId="179" fontId="0" fillId="0" borderId="0" xfId="0" applyNumberFormat="1"/>
    <xf numFmtId="9" fontId="21" fillId="0" borderId="1" xfId="45" applyNumberFormat="1" applyFont="1" applyFill="1" applyBorder="1"/>
    <xf numFmtId="10" fontId="0" fillId="0" borderId="0" xfId="45" applyNumberFormat="1" applyFont="1" applyBorder="1"/>
    <xf numFmtId="9" fontId="0" fillId="0" borderId="1" xfId="0" applyNumberFormat="1" applyBorder="1"/>
    <xf numFmtId="166" fontId="0" fillId="0" borderId="1" xfId="0" applyNumberFormat="1" applyBorder="1"/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84" fontId="3" fillId="0" borderId="1" xfId="8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84" fontId="0" fillId="0" borderId="1" xfId="0" applyNumberFormat="1" applyFill="1" applyBorder="1" applyAlignment="1">
      <alignment vertical="center"/>
    </xf>
    <xf numFmtId="9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84" fontId="3" fillId="0" borderId="1" xfId="46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18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6" fontId="0" fillId="0" borderId="1" xfId="0" applyNumberFormat="1" applyBorder="1" applyAlignment="1">
      <alignment horizontal="center" vertical="center"/>
    </xf>
    <xf numFmtId="186" fontId="0" fillId="0" borderId="1" xfId="0" applyNumberFormat="1" applyBorder="1" applyAlignment="1">
      <alignment vertical="center"/>
    </xf>
    <xf numFmtId="184" fontId="3" fillId="0" borderId="1" xfId="46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186" fontId="0" fillId="0" borderId="1" xfId="0" applyNumberFormat="1" applyFill="1" applyBorder="1" applyAlignment="1">
      <alignment horizontal="center" vertical="center"/>
    </xf>
    <xf numFmtId="186" fontId="0" fillId="0" borderId="1" xfId="0" applyNumberForma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184" fontId="3" fillId="0" borderId="0" xfId="46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center" vertical="center"/>
    </xf>
    <xf numFmtId="184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4" fontId="3" fillId="0" borderId="0" xfId="8" applyNumberFormat="1" applyBorder="1" applyAlignment="1">
      <alignment vertical="center"/>
    </xf>
    <xf numFmtId="0" fontId="9" fillId="0" borderId="0" xfId="0" applyFont="1" applyBorder="1" applyAlignment="1">
      <alignment vertical="center"/>
    </xf>
    <xf numFmtId="9" fontId="3" fillId="0" borderId="39" xfId="0" applyNumberFormat="1" applyFont="1" applyBorder="1" applyAlignment="1">
      <alignment horizontal="center" vertical="center"/>
    </xf>
    <xf numFmtId="184" fontId="3" fillId="0" borderId="1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5" borderId="1" xfId="0" applyFont="1" applyFill="1" applyBorder="1" applyAlignment="1">
      <alignment vertical="center"/>
    </xf>
    <xf numFmtId="184" fontId="3" fillId="5" borderId="1" xfId="8" applyNumberForma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184" fontId="0" fillId="5" borderId="1" xfId="0" applyNumberFormat="1" applyFill="1" applyBorder="1" applyAlignment="1">
      <alignment vertical="center"/>
    </xf>
    <xf numFmtId="185" fontId="0" fillId="5" borderId="1" xfId="0" applyNumberFormat="1" applyFill="1" applyBorder="1" applyAlignment="1">
      <alignment vertical="center"/>
    </xf>
    <xf numFmtId="186" fontId="9" fillId="5" borderId="1" xfId="0" applyNumberFormat="1" applyFont="1" applyFill="1" applyBorder="1" applyAlignment="1">
      <alignment vertical="center"/>
    </xf>
    <xf numFmtId="0" fontId="9" fillId="5" borderId="39" xfId="0" applyFont="1" applyFill="1" applyBorder="1" applyAlignment="1">
      <alignment vertical="center"/>
    </xf>
    <xf numFmtId="184" fontId="9" fillId="5" borderId="1" xfId="0" applyNumberFormat="1" applyFont="1" applyFill="1" applyBorder="1" applyAlignment="1">
      <alignment vertical="center"/>
    </xf>
    <xf numFmtId="0" fontId="0" fillId="5" borderId="1" xfId="0" applyFill="1" applyBorder="1"/>
    <xf numFmtId="0" fontId="21" fillId="5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9" fontId="21" fillId="5" borderId="1" xfId="45" applyNumberFormat="1" applyFont="1" applyFill="1" applyBorder="1"/>
    <xf numFmtId="179" fontId="0" fillId="5" borderId="1" xfId="0" applyNumberFormat="1" applyFill="1" applyBorder="1"/>
    <xf numFmtId="166" fontId="0" fillId="5" borderId="1" xfId="0" applyNumberFormat="1" applyFill="1" applyBorder="1"/>
    <xf numFmtId="10" fontId="0" fillId="5" borderId="1" xfId="45" applyNumberFormat="1" applyFont="1" applyFill="1" applyBorder="1"/>
    <xf numFmtId="180" fontId="10" fillId="0" borderId="42" xfId="0" applyNumberFormat="1" applyFont="1" applyBorder="1" applyAlignment="1">
      <alignment horizontal="left"/>
    </xf>
    <xf numFmtId="0" fontId="10" fillId="3" borderId="42" xfId="0" applyFont="1" applyFill="1" applyBorder="1" applyAlignment="1">
      <alignment horizontal="left"/>
    </xf>
    <xf numFmtId="180" fontId="10" fillId="0" borderId="42" xfId="0" applyNumberFormat="1" applyFont="1" applyFill="1" applyBorder="1" applyAlignment="1">
      <alignment horizontal="left"/>
    </xf>
    <xf numFmtId="180" fontId="10" fillId="0" borderId="42" xfId="1" applyNumberFormat="1" applyFont="1" applyFill="1" applyBorder="1" applyAlignment="1">
      <alignment horizontal="left"/>
    </xf>
    <xf numFmtId="0" fontId="8" fillId="7" borderId="1" xfId="0" applyFont="1" applyFill="1" applyBorder="1"/>
    <xf numFmtId="0" fontId="8" fillId="0" borderId="1" xfId="0" applyFont="1" applyBorder="1"/>
    <xf numFmtId="0" fontId="8" fillId="0" borderId="1" xfId="0" applyFont="1" applyFill="1" applyBorder="1"/>
    <xf numFmtId="171" fontId="3" fillId="3" borderId="42" xfId="2" applyNumberFormat="1" applyFont="1" applyFill="1" applyBorder="1" applyAlignment="1">
      <alignment horizontal="left" vertical="center" wrapText="1"/>
    </xf>
    <xf numFmtId="178" fontId="10" fillId="0" borderId="35" xfId="1" applyNumberFormat="1" applyFont="1" applyBorder="1" applyAlignment="1">
      <alignment horizontal="center"/>
    </xf>
    <xf numFmtId="0" fontId="10" fillId="0" borderId="36" xfId="0" applyFont="1" applyBorder="1" applyAlignment="1">
      <alignment horizontal="left" wrapText="1"/>
    </xf>
    <xf numFmtId="0" fontId="10" fillId="0" borderId="36" xfId="0" applyFont="1" applyBorder="1" applyAlignment="1">
      <alignment horizontal="left"/>
    </xf>
    <xf numFmtId="9" fontId="12" fillId="0" borderId="0" xfId="45" applyFont="1"/>
    <xf numFmtId="9" fontId="12" fillId="0" borderId="3" xfId="45" applyFont="1" applyBorder="1" applyAlignment="1">
      <alignment horizontal="right"/>
    </xf>
    <xf numFmtId="9" fontId="9" fillId="6" borderId="0" xfId="45" applyFont="1" applyFill="1" applyBorder="1" applyAlignment="1">
      <alignment horizontal="center"/>
    </xf>
    <xf numFmtId="9" fontId="12" fillId="0" borderId="8" xfId="45" applyFont="1" applyBorder="1"/>
    <xf numFmtId="9" fontId="9" fillId="0" borderId="11" xfId="45" applyFont="1" applyBorder="1" applyAlignment="1">
      <alignment horizontal="right"/>
    </xf>
    <xf numFmtId="9" fontId="12" fillId="0" borderId="0" xfId="45" applyFont="1" applyBorder="1"/>
    <xf numFmtId="9" fontId="12" fillId="0" borderId="3" xfId="45" applyFont="1" applyBorder="1"/>
    <xf numFmtId="9" fontId="14" fillId="0" borderId="13" xfId="45" applyFont="1" applyBorder="1"/>
    <xf numFmtId="9" fontId="9" fillId="2" borderId="0" xfId="45" applyFont="1" applyFill="1" applyBorder="1" applyAlignment="1">
      <alignment horizontal="center"/>
    </xf>
    <xf numFmtId="9" fontId="12" fillId="0" borderId="3" xfId="45" applyFont="1" applyFill="1" applyBorder="1" applyAlignment="1">
      <alignment horizontal="right"/>
    </xf>
    <xf numFmtId="9" fontId="12" fillId="0" borderId="8" xfId="45" applyFont="1" applyFill="1" applyBorder="1"/>
    <xf numFmtId="9" fontId="9" fillId="0" borderId="11" xfId="45" applyFont="1" applyFill="1" applyBorder="1" applyAlignment="1">
      <alignment horizontal="right"/>
    </xf>
    <xf numFmtId="9" fontId="12" fillId="0" borderId="0" xfId="45" applyFont="1" applyFill="1" applyBorder="1"/>
    <xf numFmtId="9" fontId="12" fillId="0" borderId="3" xfId="45" applyFont="1" applyFill="1" applyBorder="1"/>
    <xf numFmtId="9" fontId="14" fillId="0" borderId="13" xfId="45" applyFont="1" applyFill="1" applyBorder="1"/>
    <xf numFmtId="9" fontId="14" fillId="0" borderId="0" xfId="45" applyFont="1" applyBorder="1"/>
    <xf numFmtId="0" fontId="0" fillId="5" borderId="16" xfId="0" applyFill="1" applyBorder="1" applyAlignment="1">
      <alignment horizontal="center"/>
    </xf>
    <xf numFmtId="179" fontId="21" fillId="5" borderId="17" xfId="1" applyNumberFormat="1" applyFont="1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6" xfId="0" applyFont="1" applyBorder="1" applyAlignment="1">
      <alignment horizontal="center"/>
    </xf>
    <xf numFmtId="179" fontId="0" fillId="0" borderId="17" xfId="0" applyNumberFormat="1" applyBorder="1"/>
    <xf numFmtId="179" fontId="0" fillId="0" borderId="0" xfId="1" applyNumberFormat="1" applyFont="1" applyBorder="1"/>
    <xf numFmtId="179" fontId="21" fillId="0" borderId="17" xfId="0" applyNumberFormat="1" applyFont="1" applyFill="1" applyBorder="1"/>
    <xf numFmtId="179" fontId="21" fillId="5" borderId="17" xfId="0" applyNumberFormat="1" applyFont="1" applyFill="1" applyBorder="1"/>
    <xf numFmtId="0" fontId="0" fillId="5" borderId="17" xfId="0" applyFill="1" applyBorder="1"/>
    <xf numFmtId="179" fontId="0" fillId="5" borderId="17" xfId="0" applyNumberFormat="1" applyFill="1" applyBorder="1"/>
    <xf numFmtId="0" fontId="0" fillId="0" borderId="18" xfId="0" applyBorder="1" applyAlignment="1">
      <alignment horizontal="center"/>
    </xf>
    <xf numFmtId="0" fontId="21" fillId="5" borderId="19" xfId="0" applyFont="1" applyFill="1" applyBorder="1"/>
    <xf numFmtId="0" fontId="0" fillId="5" borderId="19" xfId="0" applyFill="1" applyBorder="1"/>
    <xf numFmtId="10" fontId="0" fillId="5" borderId="19" xfId="45" applyNumberFormat="1" applyFont="1" applyFill="1" applyBorder="1"/>
    <xf numFmtId="179" fontId="21" fillId="5" borderId="20" xfId="0" applyNumberFormat="1" applyFont="1" applyFill="1" applyBorder="1"/>
    <xf numFmtId="178" fontId="9" fillId="3" borderId="48" xfId="1" applyNumberFormat="1" applyFont="1" applyFill="1" applyBorder="1" applyAlignment="1">
      <alignment vertical="center" wrapText="1"/>
    </xf>
    <xf numFmtId="178" fontId="10" fillId="0" borderId="48" xfId="1" applyNumberFormat="1" applyFont="1" applyBorder="1" applyAlignment="1"/>
    <xf numFmtId="178" fontId="11" fillId="3" borderId="48" xfId="1" applyNumberFormat="1" applyFont="1" applyFill="1" applyBorder="1" applyAlignment="1">
      <alignment vertical="center"/>
    </xf>
    <xf numFmtId="178" fontId="10" fillId="0" borderId="48" xfId="1" applyNumberFormat="1" applyFont="1" applyBorder="1" applyAlignment="1">
      <alignment horizontal="center"/>
    </xf>
    <xf numFmtId="178" fontId="11" fillId="3" borderId="48" xfId="1" applyNumberFormat="1" applyFont="1" applyFill="1" applyBorder="1" applyAlignment="1">
      <alignment horizontal="center"/>
    </xf>
    <xf numFmtId="166" fontId="10" fillId="0" borderId="48" xfId="1" applyNumberFormat="1" applyFont="1" applyBorder="1" applyAlignment="1">
      <alignment horizontal="center"/>
    </xf>
    <xf numFmtId="178" fontId="10" fillId="0" borderId="48" xfId="1" applyNumberFormat="1" applyFont="1" applyFill="1" applyBorder="1" applyAlignment="1">
      <alignment horizontal="center"/>
    </xf>
    <xf numFmtId="166" fontId="10" fillId="0" borderId="48" xfId="1" applyNumberFormat="1" applyFont="1" applyFill="1" applyBorder="1" applyAlignment="1">
      <alignment horizontal="center"/>
    </xf>
    <xf numFmtId="178" fontId="10" fillId="0" borderId="49" xfId="1" applyNumberFormat="1" applyFont="1" applyBorder="1" applyAlignment="1">
      <alignment horizontal="center"/>
    </xf>
    <xf numFmtId="0" fontId="9" fillId="3" borderId="16" xfId="2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left" wrapText="1"/>
    </xf>
    <xf numFmtId="0" fontId="11" fillId="3" borderId="16" xfId="0" applyFont="1" applyFill="1" applyBorder="1" applyAlignment="1">
      <alignment horizontal="left" wrapText="1"/>
    </xf>
    <xf numFmtId="0" fontId="10" fillId="0" borderId="16" xfId="0" applyFont="1" applyBorder="1" applyAlignment="1">
      <alignment horizontal="left"/>
    </xf>
    <xf numFmtId="0" fontId="10" fillId="0" borderId="16" xfId="0" applyFont="1" applyFill="1" applyBorder="1" applyAlignment="1">
      <alignment horizontal="left" wrapText="1"/>
    </xf>
    <xf numFmtId="0" fontId="10" fillId="0" borderId="25" xfId="0" applyFont="1" applyBorder="1" applyAlignment="1">
      <alignment horizontal="left" wrapText="1"/>
    </xf>
    <xf numFmtId="178" fontId="3" fillId="2" borderId="35" xfId="1" applyNumberFormat="1" applyFont="1" applyFill="1" applyBorder="1" applyAlignment="1">
      <alignment horizontal="center" vertical="center" wrapText="1"/>
    </xf>
    <xf numFmtId="0" fontId="3" fillId="2" borderId="36" xfId="2" applyFont="1" applyFill="1" applyBorder="1" applyAlignment="1">
      <alignment horizontal="center" vertical="center" wrapText="1"/>
    </xf>
    <xf numFmtId="171" fontId="3" fillId="2" borderId="36" xfId="2" applyNumberFormat="1" applyFont="1" applyFill="1" applyBorder="1" applyAlignment="1">
      <alignment horizontal="center" vertical="center" wrapText="1"/>
    </xf>
    <xf numFmtId="171" fontId="3" fillId="2" borderId="50" xfId="2" applyNumberFormat="1" applyFont="1" applyFill="1" applyBorder="1" applyAlignment="1">
      <alignment horizontal="center" vertical="center" wrapText="1"/>
    </xf>
    <xf numFmtId="178" fontId="10" fillId="0" borderId="37" xfId="1" applyNumberFormat="1" applyFont="1" applyBorder="1" applyAlignment="1">
      <alignment horizontal="left"/>
    </xf>
    <xf numFmtId="0" fontId="8" fillId="0" borderId="17" xfId="0" applyFont="1" applyBorder="1"/>
    <xf numFmtId="180" fontId="10" fillId="0" borderId="19" xfId="1" applyNumberFormat="1" applyFont="1" applyBorder="1" applyAlignment="1">
      <alignment horizontal="left"/>
    </xf>
    <xf numFmtId="180" fontId="10" fillId="0" borderId="27" xfId="0" applyNumberFormat="1" applyFont="1" applyBorder="1" applyAlignment="1">
      <alignment horizontal="left"/>
    </xf>
    <xf numFmtId="0" fontId="8" fillId="0" borderId="19" xfId="0" applyFont="1" applyBorder="1"/>
    <xf numFmtId="0" fontId="8" fillId="0" borderId="19" xfId="0" applyFont="1" applyFill="1" applyBorder="1"/>
    <xf numFmtId="0" fontId="8" fillId="7" borderId="19" xfId="0" applyFont="1" applyFill="1" applyBorder="1"/>
    <xf numFmtId="0" fontId="8" fillId="7" borderId="20" xfId="0" applyFont="1" applyFill="1" applyBorder="1"/>
    <xf numFmtId="0" fontId="9" fillId="0" borderId="52" xfId="0" applyFont="1" applyBorder="1" applyAlignment="1">
      <alignment wrapText="1"/>
    </xf>
    <xf numFmtId="0" fontId="9" fillId="0" borderId="53" xfId="0" applyFont="1" applyFill="1" applyBorder="1" applyAlignment="1">
      <alignment horizontal="right"/>
    </xf>
    <xf numFmtId="0" fontId="9" fillId="0" borderId="53" xfId="0" applyFont="1" applyFill="1" applyBorder="1" applyAlignment="1">
      <alignment horizontal="right" wrapText="1"/>
    </xf>
    <xf numFmtId="0" fontId="9" fillId="0" borderId="53" xfId="0" applyFont="1" applyBorder="1" applyAlignment="1">
      <alignment horizontal="right"/>
    </xf>
    <xf numFmtId="9" fontId="9" fillId="0" borderId="53" xfId="45" applyFont="1" applyBorder="1" applyAlignment="1">
      <alignment horizontal="right"/>
    </xf>
    <xf numFmtId="166" fontId="9" fillId="0" borderId="54" xfId="1" applyFont="1" applyBorder="1" applyAlignment="1">
      <alignment horizontal="right"/>
    </xf>
    <xf numFmtId="180" fontId="12" fillId="0" borderId="17" xfId="1" applyNumberFormat="1" applyFont="1" applyFill="1" applyBorder="1"/>
    <xf numFmtId="178" fontId="12" fillId="0" borderId="20" xfId="1" applyNumberFormat="1" applyFont="1" applyFill="1" applyBorder="1"/>
    <xf numFmtId="178" fontId="10" fillId="0" borderId="48" xfId="1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180" fontId="10" fillId="0" borderId="1" xfId="1" applyNumberFormat="1" applyFont="1" applyBorder="1" applyAlignment="1">
      <alignment horizontal="left" vertical="center"/>
    </xf>
    <xf numFmtId="180" fontId="10" fillId="0" borderId="17" xfId="0" applyNumberFormat="1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24" fillId="0" borderId="16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166" fontId="25" fillId="0" borderId="17" xfId="1" quotePrefix="1" applyFont="1" applyFill="1" applyBorder="1" applyAlignment="1">
      <alignment vertical="center" wrapText="1"/>
    </xf>
    <xf numFmtId="1" fontId="0" fillId="0" borderId="0" xfId="0" applyNumberFormat="1" applyAlignment="1">
      <alignment vertical="center"/>
    </xf>
    <xf numFmtId="0" fontId="11" fillId="0" borderId="20" xfId="0" applyFont="1" applyFill="1" applyBorder="1" applyAlignment="1">
      <alignment vertical="center" wrapText="1"/>
    </xf>
    <xf numFmtId="178" fontId="10" fillId="0" borderId="7" xfId="1" applyNumberFormat="1" applyFont="1" applyBorder="1" applyAlignment="1">
      <alignment horizontal="center"/>
    </xf>
    <xf numFmtId="178" fontId="10" fillId="0" borderId="17" xfId="0" applyNumberFormat="1" applyFont="1" applyBorder="1" applyAlignment="1">
      <alignment horizontal="left"/>
    </xf>
    <xf numFmtId="178" fontId="10" fillId="0" borderId="2" xfId="1" applyNumberFormat="1" applyFont="1" applyBorder="1" applyAlignment="1">
      <alignment horizontal="center"/>
    </xf>
    <xf numFmtId="178" fontId="10" fillId="0" borderId="5" xfId="1" applyNumberFormat="1" applyFont="1" applyBorder="1" applyAlignment="1">
      <alignment horizontal="center"/>
    </xf>
    <xf numFmtId="178" fontId="3" fillId="2" borderId="46" xfId="1" applyNumberFormat="1" applyFont="1" applyFill="1" applyBorder="1" applyAlignment="1">
      <alignment horizontal="center" vertical="center" wrapText="1"/>
    </xf>
    <xf numFmtId="0" fontId="3" fillId="2" borderId="35" xfId="2" applyFont="1" applyFill="1" applyBorder="1" applyAlignment="1">
      <alignment horizontal="center" vertical="center" wrapText="1"/>
    </xf>
    <xf numFmtId="171" fontId="3" fillId="2" borderId="37" xfId="2" applyNumberFormat="1" applyFont="1" applyFill="1" applyBorder="1" applyAlignment="1">
      <alignment horizontal="center" vertical="center" wrapText="1"/>
    </xf>
    <xf numFmtId="178" fontId="10" fillId="0" borderId="5" xfId="1" applyNumberFormat="1" applyFont="1" applyBorder="1" applyAlignment="1">
      <alignment horizontal="center"/>
    </xf>
    <xf numFmtId="178" fontId="10" fillId="0" borderId="0" xfId="1" applyNumberFormat="1" applyFont="1" applyAlignment="1">
      <alignment horizontal="center"/>
    </xf>
    <xf numFmtId="2" fontId="0" fillId="0" borderId="16" xfId="0" applyNumberFormat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180" fontId="10" fillId="4" borderId="17" xfId="0" applyNumberFormat="1" applyFont="1" applyFill="1" applyBorder="1" applyAlignment="1">
      <alignment horizontal="left"/>
    </xf>
    <xf numFmtId="0" fontId="10" fillId="4" borderId="16" xfId="0" applyFont="1" applyFill="1" applyBorder="1" applyAlignment="1">
      <alignment horizontal="left" wrapText="1"/>
    </xf>
    <xf numFmtId="180" fontId="10" fillId="4" borderId="1" xfId="1" applyNumberFormat="1" applyFont="1" applyFill="1" applyBorder="1" applyAlignment="1">
      <alignment horizontal="left"/>
    </xf>
    <xf numFmtId="2" fontId="10" fillId="4" borderId="1" xfId="0" applyNumberFormat="1" applyFont="1" applyFill="1" applyBorder="1" applyAlignment="1">
      <alignment horizontal="left"/>
    </xf>
    <xf numFmtId="180" fontId="10" fillId="4" borderId="17" xfId="1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180" fontId="10" fillId="4" borderId="1" xfId="1" applyNumberFormat="1" applyFont="1" applyFill="1" applyBorder="1" applyAlignment="1">
      <alignment horizontal="left" vertical="center"/>
    </xf>
    <xf numFmtId="0" fontId="8" fillId="0" borderId="0" xfId="0" applyFont="1" applyAlignment="1">
      <alignment wrapText="1"/>
    </xf>
    <xf numFmtId="180" fontId="8" fillId="0" borderId="0" xfId="0" applyNumberFormat="1" applyFont="1" applyAlignment="1">
      <alignment wrapText="1"/>
    </xf>
    <xf numFmtId="0" fontId="8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wrapText="1"/>
    </xf>
    <xf numFmtId="0" fontId="10" fillId="0" borderId="57" xfId="0" applyFont="1" applyBorder="1" applyAlignment="1">
      <alignment horizontal="left"/>
    </xf>
    <xf numFmtId="0" fontId="10" fillId="0" borderId="41" xfId="0" applyFont="1" applyBorder="1" applyAlignment="1">
      <alignment horizontal="left"/>
    </xf>
    <xf numFmtId="180" fontId="10" fillId="0" borderId="41" xfId="1" applyNumberFormat="1" applyFont="1" applyBorder="1" applyAlignment="1">
      <alignment horizontal="left"/>
    </xf>
    <xf numFmtId="180" fontId="10" fillId="0" borderId="59" xfId="0" applyNumberFormat="1" applyFont="1" applyBorder="1" applyAlignment="1">
      <alignment horizontal="left"/>
    </xf>
    <xf numFmtId="0" fontId="12" fillId="4" borderId="5" xfId="0" applyFont="1" applyFill="1" applyBorder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wrapText="1"/>
    </xf>
    <xf numFmtId="9" fontId="12" fillId="4" borderId="0" xfId="45" applyFont="1" applyFill="1" applyBorder="1"/>
    <xf numFmtId="166" fontId="12" fillId="4" borderId="6" xfId="1" applyFont="1" applyFill="1" applyBorder="1"/>
    <xf numFmtId="0" fontId="12" fillId="4" borderId="0" xfId="0" applyFont="1" applyFill="1"/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2" fontId="0" fillId="0" borderId="0" xfId="0" applyNumberFormat="1" applyAlignment="1">
      <alignment vertical="center"/>
    </xf>
    <xf numFmtId="0" fontId="10" fillId="5" borderId="16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/>
    </xf>
    <xf numFmtId="180" fontId="10" fillId="5" borderId="1" xfId="1" applyNumberFormat="1" applyFont="1" applyFill="1" applyBorder="1" applyAlignment="1">
      <alignment horizontal="left"/>
    </xf>
    <xf numFmtId="180" fontId="10" fillId="5" borderId="17" xfId="0" applyNumberFormat="1" applyFont="1" applyFill="1" applyBorder="1" applyAlignment="1">
      <alignment horizontal="left"/>
    </xf>
    <xf numFmtId="0" fontId="8" fillId="5" borderId="0" xfId="0" applyFont="1" applyFill="1" applyAlignment="1">
      <alignment wrapText="1"/>
    </xf>
    <xf numFmtId="180" fontId="10" fillId="5" borderId="17" xfId="1" applyNumberFormat="1" applyFont="1" applyFill="1" applyBorder="1" applyAlignment="1">
      <alignment horizontal="left"/>
    </xf>
    <xf numFmtId="164" fontId="8" fillId="0" borderId="0" xfId="59" applyFont="1"/>
    <xf numFmtId="164" fontId="8" fillId="0" borderId="0" xfId="0" applyNumberFormat="1" applyFont="1"/>
    <xf numFmtId="188" fontId="8" fillId="0" borderId="0" xfId="0" applyNumberFormat="1" applyFont="1" applyAlignment="1">
      <alignment wrapText="1"/>
    </xf>
    <xf numFmtId="187" fontId="8" fillId="0" borderId="0" xfId="0" applyNumberFormat="1" applyFont="1"/>
    <xf numFmtId="0" fontId="8" fillId="0" borderId="0" xfId="0" quotePrefix="1" applyFont="1" applyAlignment="1">
      <alignment horizontal="left"/>
    </xf>
    <xf numFmtId="0" fontId="10" fillId="0" borderId="16" xfId="0" quotePrefix="1" applyFont="1" applyFill="1" applyBorder="1" applyAlignment="1">
      <alignment horizontal="left" wrapText="1"/>
    </xf>
    <xf numFmtId="0" fontId="8" fillId="0" borderId="0" xfId="0" quotePrefix="1" applyFont="1" applyAlignment="1">
      <alignment horizontal="left" vertical="center"/>
    </xf>
    <xf numFmtId="2" fontId="12" fillId="4" borderId="0" xfId="0" applyNumberFormat="1" applyFont="1" applyFill="1" applyBorder="1" applyAlignment="1">
      <alignment wrapText="1"/>
    </xf>
    <xf numFmtId="183" fontId="12" fillId="0" borderId="0" xfId="59" applyNumberFormat="1" applyFont="1"/>
    <xf numFmtId="0" fontId="0" fillId="0" borderId="0" xfId="0" quotePrefix="1" applyAlignment="1">
      <alignment horizontal="left" vertical="center"/>
    </xf>
    <xf numFmtId="0" fontId="10" fillId="0" borderId="16" xfId="0" quotePrefix="1" applyFont="1" applyFill="1" applyBorder="1" applyAlignment="1">
      <alignment horizontal="left" vertical="center" wrapText="1"/>
    </xf>
    <xf numFmtId="181" fontId="12" fillId="8" borderId="0" xfId="1" applyNumberFormat="1" applyFont="1" applyFill="1" applyBorder="1" applyAlignment="1">
      <alignment wrapText="1"/>
    </xf>
    <xf numFmtId="164" fontId="26" fillId="0" borderId="0" xfId="59" applyFont="1"/>
    <xf numFmtId="166" fontId="8" fillId="0" borderId="0" xfId="0" applyNumberFormat="1" applyFont="1"/>
    <xf numFmtId="10" fontId="8" fillId="0" borderId="0" xfId="45" applyNumberFormat="1" applyFont="1"/>
    <xf numFmtId="183" fontId="27" fillId="0" borderId="0" xfId="59" applyNumberFormat="1" applyFont="1"/>
    <xf numFmtId="0" fontId="26" fillId="0" borderId="0" xfId="0" applyFont="1"/>
    <xf numFmtId="166" fontId="10" fillId="0" borderId="24" xfId="1" applyNumberFormat="1" applyFont="1" applyBorder="1" applyAlignment="1">
      <alignment horizontal="left"/>
    </xf>
    <xf numFmtId="166" fontId="10" fillId="0" borderId="17" xfId="1" applyNumberFormat="1" applyFont="1" applyBorder="1" applyAlignment="1">
      <alignment horizontal="left"/>
    </xf>
    <xf numFmtId="164" fontId="8" fillId="0" borderId="0" xfId="59" applyNumberFormat="1" applyFont="1"/>
    <xf numFmtId="178" fontId="10" fillId="0" borderId="5" xfId="1" applyNumberFormat="1" applyFont="1" applyBorder="1" applyAlignment="1">
      <alignment horizontal="center"/>
    </xf>
    <xf numFmtId="178" fontId="10" fillId="0" borderId="7" xfId="1" applyNumberFormat="1" applyFont="1" applyBorder="1" applyAlignment="1">
      <alignment horizontal="center"/>
    </xf>
    <xf numFmtId="180" fontId="10" fillId="0" borderId="1" xfId="1" applyNumberFormat="1" applyFont="1" applyFill="1" applyBorder="1" applyAlignment="1">
      <alignment horizontal="left" vertical="center"/>
    </xf>
    <xf numFmtId="178" fontId="10" fillId="0" borderId="48" xfId="1" applyNumberFormat="1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180" fontId="10" fillId="0" borderId="17" xfId="0" applyNumberFormat="1" applyFont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3" borderId="17" xfId="0" applyFont="1" applyFill="1" applyBorder="1" applyAlignment="1">
      <alignment horizontal="left" vertical="center"/>
    </xf>
    <xf numFmtId="178" fontId="10" fillId="0" borderId="48" xfId="1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left" vertical="center"/>
    </xf>
    <xf numFmtId="178" fontId="11" fillId="3" borderId="48" xfId="1" applyNumberFormat="1" applyFont="1" applyFill="1" applyBorder="1" applyAlignment="1">
      <alignment horizontal="center" vertical="center"/>
    </xf>
    <xf numFmtId="166" fontId="10" fillId="0" borderId="48" xfId="1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166" fontId="10" fillId="0" borderId="48" xfId="1" applyNumberFormat="1" applyFont="1" applyFill="1" applyBorder="1" applyAlignment="1">
      <alignment horizontal="center" vertical="center"/>
    </xf>
    <xf numFmtId="180" fontId="10" fillId="0" borderId="17" xfId="1" applyNumberFormat="1" applyFont="1" applyFill="1" applyBorder="1" applyAlignment="1">
      <alignment horizontal="left" vertical="center"/>
    </xf>
    <xf numFmtId="178" fontId="10" fillId="0" borderId="49" xfId="1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/>
    </xf>
    <xf numFmtId="180" fontId="10" fillId="0" borderId="21" xfId="1" applyNumberFormat="1" applyFont="1" applyBorder="1" applyAlignment="1">
      <alignment horizontal="left" vertical="center"/>
    </xf>
    <xf numFmtId="180" fontId="10" fillId="0" borderId="26" xfId="0" applyNumberFormat="1" applyFont="1" applyBorder="1" applyAlignment="1">
      <alignment horizontal="left" vertical="center"/>
    </xf>
    <xf numFmtId="178" fontId="10" fillId="0" borderId="5" xfId="1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57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180" fontId="10" fillId="0" borderId="41" xfId="1" applyNumberFormat="1" applyFont="1" applyBorder="1" applyAlignment="1">
      <alignment horizontal="left" vertical="center"/>
    </xf>
    <xf numFmtId="180" fontId="10" fillId="0" borderId="5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0" fillId="0" borderId="0" xfId="60" applyFont="1"/>
    <xf numFmtId="0" fontId="0" fillId="0" borderId="0" xfId="0" applyAlignment="1">
      <alignment wrapText="1"/>
    </xf>
    <xf numFmtId="10" fontId="0" fillId="0" borderId="0" xfId="45" applyNumberFormat="1" applyFont="1"/>
    <xf numFmtId="0" fontId="21" fillId="0" borderId="1" xfId="0" applyFont="1" applyBorder="1" applyAlignment="1">
      <alignment horizontal="center" vertical="center"/>
    </xf>
    <xf numFmtId="167" fontId="21" fillId="0" borderId="1" xfId="60" applyFont="1" applyBorder="1" applyAlignment="1">
      <alignment horizontal="center" vertical="center"/>
    </xf>
    <xf numFmtId="0" fontId="21" fillId="10" borderId="1" xfId="0" applyFont="1" applyFill="1" applyBorder="1" applyAlignment="1">
      <alignment horizontal="center"/>
    </xf>
    <xf numFmtId="0" fontId="0" fillId="10" borderId="1" xfId="0" applyFill="1" applyBorder="1"/>
    <xf numFmtId="0" fontId="21" fillId="10" borderId="1" xfId="0" applyFont="1" applyFill="1" applyBorder="1"/>
    <xf numFmtId="0" fontId="0" fillId="10" borderId="1" xfId="0" applyFill="1" applyBorder="1" applyAlignment="1">
      <alignment horizontal="center"/>
    </xf>
    <xf numFmtId="167" fontId="21" fillId="10" borderId="1" xfId="60" applyFont="1" applyFill="1" applyBorder="1" applyAlignment="1">
      <alignment horizontal="right"/>
    </xf>
    <xf numFmtId="0" fontId="0" fillId="11" borderId="0" xfId="0" applyFill="1"/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67" fontId="0" fillId="0" borderId="1" xfId="60" applyFont="1" applyBorder="1" applyAlignment="1">
      <alignment horizontal="center"/>
    </xf>
    <xf numFmtId="167" fontId="0" fillId="0" borderId="1" xfId="60" applyFont="1" applyBorder="1" applyAlignment="1">
      <alignment horizontal="right"/>
    </xf>
    <xf numFmtId="2" fontId="0" fillId="0" borderId="0" xfId="0" applyNumberFormat="1"/>
    <xf numFmtId="167" fontId="0" fillId="0" borderId="0" xfId="0" applyNumberFormat="1"/>
    <xf numFmtId="167" fontId="21" fillId="10" borderId="1" xfId="60" applyFont="1" applyFill="1" applyBorder="1"/>
    <xf numFmtId="0" fontId="0" fillId="0" borderId="1" xfId="0" applyBorder="1" applyAlignment="1">
      <alignment wrapText="1"/>
    </xf>
    <xf numFmtId="167" fontId="0" fillId="0" borderId="1" xfId="60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1" xfId="0" applyBorder="1" applyAlignment="1">
      <alignment vertical="center"/>
    </xf>
    <xf numFmtId="0" fontId="21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vertical="center"/>
    </xf>
    <xf numFmtId="167" fontId="21" fillId="10" borderId="1" xfId="60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/>
    </xf>
    <xf numFmtId="167" fontId="0" fillId="10" borderId="1" xfId="60" applyFont="1" applyFill="1" applyBorder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1" fillId="10" borderId="16" xfId="0" applyFont="1" applyFill="1" applyBorder="1" applyAlignment="1">
      <alignment horizontal="center" vertical="center"/>
    </xf>
    <xf numFmtId="167" fontId="21" fillId="10" borderId="17" xfId="60" applyFont="1" applyFill="1" applyBorder="1" applyAlignment="1">
      <alignment horizontal="right" vertical="center"/>
    </xf>
    <xf numFmtId="167" fontId="0" fillId="0" borderId="17" xfId="60" applyFont="1" applyBorder="1"/>
    <xf numFmtId="167" fontId="0" fillId="0" borderId="17" xfId="60" applyFont="1" applyBorder="1" applyAlignment="1">
      <alignment vertical="center"/>
    </xf>
    <xf numFmtId="167" fontId="0" fillId="0" borderId="1" xfId="60" applyFont="1" applyBorder="1" applyAlignment="1">
      <alignment horizontal="center" vertical="center"/>
    </xf>
    <xf numFmtId="0" fontId="21" fillId="10" borderId="1" xfId="0" applyFont="1" applyFill="1" applyBorder="1" applyAlignment="1">
      <alignment horizontal="left" vertical="center"/>
    </xf>
    <xf numFmtId="2" fontId="21" fillId="10" borderId="1" xfId="0" applyNumberFormat="1" applyFont="1" applyFill="1" applyBorder="1" applyAlignment="1">
      <alignment horizontal="center" vertical="center"/>
    </xf>
    <xf numFmtId="189" fontId="21" fillId="10" borderId="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36" xfId="0" applyBorder="1"/>
    <xf numFmtId="2" fontId="0" fillId="0" borderId="36" xfId="0" applyNumberFormat="1" applyBorder="1" applyAlignment="1">
      <alignment horizontal="center" vertical="center"/>
    </xf>
    <xf numFmtId="167" fontId="0" fillId="0" borderId="36" xfId="60" applyFont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89" fontId="0" fillId="10" borderId="1" xfId="0" applyNumberFormat="1" applyFill="1" applyBorder="1" applyAlignment="1">
      <alignment horizontal="center" vertical="center"/>
    </xf>
    <xf numFmtId="167" fontId="0" fillId="10" borderId="1" xfId="60" applyFont="1" applyFill="1" applyBorder="1" applyAlignment="1">
      <alignment horizontal="right" vertical="center"/>
    </xf>
    <xf numFmtId="167" fontId="0" fillId="0" borderId="1" xfId="60" applyFont="1" applyBorder="1" applyAlignment="1">
      <alignment horizontal="right" vertical="center"/>
    </xf>
    <xf numFmtId="0" fontId="27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21" fillId="10" borderId="1" xfId="0" applyFont="1" applyFill="1" applyBorder="1" applyAlignment="1">
      <alignment vertical="center" wrapText="1"/>
    </xf>
    <xf numFmtId="0" fontId="28" fillId="10" borderId="16" xfId="0" applyFont="1" applyFill="1" applyBorder="1" applyAlignment="1">
      <alignment horizontal="center" vertical="center"/>
    </xf>
    <xf numFmtId="0" fontId="28" fillId="10" borderId="1" xfId="0" applyFont="1" applyFill="1" applyBorder="1" applyAlignment="1">
      <alignment horizontal="center" vertical="center"/>
    </xf>
    <xf numFmtId="0" fontId="28" fillId="10" borderId="1" xfId="0" applyFont="1" applyFill="1" applyBorder="1" applyAlignment="1">
      <alignment horizontal="left" vertical="center"/>
    </xf>
    <xf numFmtId="2" fontId="28" fillId="10" borderId="1" xfId="0" applyNumberFormat="1" applyFont="1" applyFill="1" applyBorder="1" applyAlignment="1">
      <alignment horizontal="center" vertical="center"/>
    </xf>
    <xf numFmtId="189" fontId="28" fillId="10" borderId="1" xfId="0" applyNumberFormat="1" applyFont="1" applyFill="1" applyBorder="1" applyAlignment="1">
      <alignment horizontal="center" vertical="center"/>
    </xf>
    <xf numFmtId="167" fontId="28" fillId="10" borderId="17" xfId="60" applyFont="1" applyFill="1" applyBorder="1" applyAlignment="1">
      <alignment horizontal="right" vertical="center"/>
    </xf>
    <xf numFmtId="0" fontId="0" fillId="0" borderId="1" xfId="0" applyBorder="1" applyAlignment="1">
      <alignment horizontal="left"/>
    </xf>
    <xf numFmtId="189" fontId="0" fillId="0" borderId="1" xfId="0" applyNumberFormat="1" applyBorder="1" applyAlignment="1">
      <alignment horizontal="center" vertical="center"/>
    </xf>
    <xf numFmtId="167" fontId="0" fillId="0" borderId="17" xfId="60" applyFont="1" applyBorder="1" applyAlignment="1">
      <alignment horizontal="right" vertical="center"/>
    </xf>
    <xf numFmtId="0" fontId="0" fillId="0" borderId="8" xfId="0" applyBorder="1" applyAlignment="1">
      <alignment horizontal="left"/>
    </xf>
    <xf numFmtId="2" fontId="0" fillId="0" borderId="8" xfId="0" applyNumberFormat="1" applyBorder="1" applyAlignment="1">
      <alignment horizontal="center" vertical="center"/>
    </xf>
    <xf numFmtId="189" fontId="0" fillId="0" borderId="8" xfId="0" applyNumberFormat="1" applyBorder="1" applyAlignment="1">
      <alignment horizontal="center" vertical="center"/>
    </xf>
    <xf numFmtId="167" fontId="0" fillId="0" borderId="9" xfId="60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2" fontId="0" fillId="0" borderId="23" xfId="0" applyNumberFormat="1" applyBorder="1" applyAlignment="1">
      <alignment horizontal="center" vertical="center"/>
    </xf>
    <xf numFmtId="189" fontId="0" fillId="0" borderId="23" xfId="0" applyNumberFormat="1" applyBorder="1" applyAlignment="1">
      <alignment horizontal="center" vertical="center"/>
    </xf>
    <xf numFmtId="167" fontId="0" fillId="0" borderId="24" xfId="60" applyFont="1" applyBorder="1" applyAlignment="1">
      <alignment horizontal="right" vertical="center"/>
    </xf>
    <xf numFmtId="9" fontId="0" fillId="0" borderId="1" xfId="45" applyFont="1" applyBorder="1" applyAlignment="1">
      <alignment horizontal="center" vertical="center"/>
    </xf>
    <xf numFmtId="167" fontId="0" fillId="11" borderId="0" xfId="0" applyNumberFormat="1" applyFill="1"/>
    <xf numFmtId="10" fontId="0" fillId="0" borderId="1" xfId="45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1" fillId="0" borderId="19" xfId="0" applyFont="1" applyBorder="1" applyAlignment="1">
      <alignment horizontal="left"/>
    </xf>
    <xf numFmtId="2" fontId="0" fillId="0" borderId="19" xfId="0" applyNumberFormat="1" applyBorder="1" applyAlignment="1">
      <alignment horizontal="center" vertical="center"/>
    </xf>
    <xf numFmtId="189" fontId="0" fillId="0" borderId="19" xfId="0" applyNumberFormat="1" applyBorder="1" applyAlignment="1">
      <alignment horizontal="center" vertical="center"/>
    </xf>
    <xf numFmtId="167" fontId="21" fillId="11" borderId="20" xfId="6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89" fontId="8" fillId="0" borderId="1" xfId="0" applyNumberFormat="1" applyFont="1" applyBorder="1" applyAlignment="1">
      <alignment horizontal="center" vertical="center"/>
    </xf>
    <xf numFmtId="190" fontId="0" fillId="0" borderId="1" xfId="0" applyNumberFormat="1" applyBorder="1" applyAlignment="1">
      <alignment horizontal="center" vertical="center"/>
    </xf>
    <xf numFmtId="189" fontId="0" fillId="0" borderId="1" xfId="0" applyNumberFormat="1" applyBorder="1" applyAlignment="1">
      <alignment horizontal="right" vertical="center"/>
    </xf>
    <xf numFmtId="167" fontId="21" fillId="0" borderId="1" xfId="60" applyFont="1" applyBorder="1" applyAlignment="1">
      <alignment horizontal="right" vertical="center"/>
    </xf>
    <xf numFmtId="10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9" fillId="0" borderId="22" xfId="0" applyFont="1" applyBorder="1" applyAlignment="1">
      <alignment vertical="center" wrapText="1"/>
    </xf>
    <xf numFmtId="0" fontId="0" fillId="0" borderId="23" xfId="0" applyBorder="1"/>
    <xf numFmtId="0" fontId="29" fillId="0" borderId="23" xfId="0" applyFont="1" applyBorder="1" applyAlignment="1">
      <alignment vertical="center" wrapText="1"/>
    </xf>
    <xf numFmtId="0" fontId="29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/>
    </xf>
    <xf numFmtId="0" fontId="10" fillId="0" borderId="16" xfId="0" applyFont="1" applyBorder="1" applyAlignment="1">
      <alignment vertical="center"/>
    </xf>
    <xf numFmtId="167" fontId="29" fillId="0" borderId="1" xfId="60" applyFont="1" applyBorder="1" applyAlignment="1">
      <alignment vertical="center" wrapText="1"/>
    </xf>
    <xf numFmtId="167" fontId="0" fillId="0" borderId="1" xfId="60" applyFont="1" applyBorder="1"/>
    <xf numFmtId="167" fontId="0" fillId="0" borderId="17" xfId="0" applyNumberFormat="1" applyBorder="1"/>
    <xf numFmtId="0" fontId="0" fillId="0" borderId="16" xfId="0" applyBorder="1"/>
    <xf numFmtId="0" fontId="31" fillId="0" borderId="18" xfId="0" applyFont="1" applyBorder="1" applyAlignment="1">
      <alignment vertical="center"/>
    </xf>
    <xf numFmtId="167" fontId="0" fillId="0" borderId="19" xfId="60" applyFont="1" applyBorder="1"/>
    <xf numFmtId="167" fontId="0" fillId="0" borderId="19" xfId="0" applyNumberFormat="1" applyBorder="1"/>
    <xf numFmtId="10" fontId="0" fillId="0" borderId="19" xfId="45" applyNumberFormat="1" applyFont="1" applyBorder="1"/>
    <xf numFmtId="167" fontId="0" fillId="4" borderId="20" xfId="0" applyNumberFormat="1" applyFill="1" applyBorder="1"/>
    <xf numFmtId="180" fontId="8" fillId="0" borderId="0" xfId="0" applyNumberFormat="1" applyFont="1"/>
    <xf numFmtId="2" fontId="8" fillId="0" borderId="0" xfId="0" applyNumberFormat="1" applyFont="1"/>
    <xf numFmtId="166" fontId="11" fillId="0" borderId="17" xfId="0" applyNumberFormat="1" applyFont="1" applyBorder="1" applyAlignment="1">
      <alignment horizontal="left"/>
    </xf>
    <xf numFmtId="167" fontId="8" fillId="0" borderId="0" xfId="0" applyNumberFormat="1" applyFont="1"/>
    <xf numFmtId="166" fontId="11" fillId="0" borderId="20" xfId="0" applyNumberFormat="1" applyFont="1" applyBorder="1" applyAlignment="1">
      <alignment horizontal="left"/>
    </xf>
    <xf numFmtId="192" fontId="9" fillId="5" borderId="1" xfId="0" applyNumberFormat="1" applyFont="1" applyFill="1" applyBorder="1" applyAlignment="1">
      <alignment vertical="center"/>
    </xf>
    <xf numFmtId="184" fontId="32" fillId="0" borderId="0" xfId="0" applyNumberFormat="1" applyFont="1" applyAlignment="1">
      <alignment vertical="center" wrapText="1"/>
    </xf>
    <xf numFmtId="191" fontId="32" fillId="0" borderId="0" xfId="0" applyNumberFormat="1" applyFont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21" fillId="0" borderId="1" xfId="6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10" fillId="0" borderId="19" xfId="0" applyFont="1" applyBorder="1" applyAlignment="1">
      <alignment horizontal="center" wrapText="1"/>
    </xf>
    <xf numFmtId="178" fontId="10" fillId="0" borderId="2" xfId="1" applyNumberFormat="1" applyFont="1" applyBorder="1" applyAlignment="1">
      <alignment horizontal="center" wrapText="1"/>
    </xf>
    <xf numFmtId="178" fontId="10" fillId="0" borderId="3" xfId="1" applyNumberFormat="1" applyFont="1" applyBorder="1" applyAlignment="1">
      <alignment horizontal="center"/>
    </xf>
    <xf numFmtId="178" fontId="10" fillId="0" borderId="56" xfId="1" applyNumberFormat="1" applyFont="1" applyBorder="1" applyAlignment="1">
      <alignment horizontal="center"/>
    </xf>
    <xf numFmtId="178" fontId="10" fillId="0" borderId="5" xfId="1" applyNumberFormat="1" applyFont="1" applyBorder="1" applyAlignment="1">
      <alignment horizontal="center"/>
    </xf>
    <xf numFmtId="178" fontId="10" fillId="0" borderId="0" xfId="1" applyNumberFormat="1" applyFont="1" applyBorder="1" applyAlignment="1">
      <alignment horizontal="center"/>
    </xf>
    <xf numFmtId="178" fontId="10" fillId="0" borderId="57" xfId="1" applyNumberFormat="1" applyFont="1" applyBorder="1" applyAlignment="1">
      <alignment horizontal="center"/>
    </xf>
    <xf numFmtId="178" fontId="10" fillId="0" borderId="7" xfId="1" applyNumberFormat="1" applyFont="1" applyBorder="1" applyAlignment="1">
      <alignment horizontal="center"/>
    </xf>
    <xf numFmtId="178" fontId="10" fillId="0" borderId="8" xfId="1" applyNumberFormat="1" applyFont="1" applyBorder="1" applyAlignment="1">
      <alignment horizontal="center"/>
    </xf>
    <xf numFmtId="178" fontId="10" fillId="0" borderId="58" xfId="1" applyNumberFormat="1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1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21" fillId="9" borderId="13" xfId="0" applyFont="1" applyFill="1" applyBorder="1" applyAlignment="1">
      <alignment horizontal="center"/>
    </xf>
    <xf numFmtId="0" fontId="21" fillId="9" borderId="14" xfId="0" applyFont="1" applyFill="1" applyBorder="1" applyAlignment="1">
      <alignment horizontal="center"/>
    </xf>
    <xf numFmtId="0" fontId="21" fillId="9" borderId="15" xfId="0" applyFont="1" applyFill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9" fillId="5" borderId="42" xfId="0" applyFont="1" applyFill="1" applyBorder="1" applyAlignment="1">
      <alignment horizontal="right" vertical="center"/>
    </xf>
    <xf numFmtId="0" fontId="9" fillId="5" borderId="38" xfId="0" applyFont="1" applyFill="1" applyBorder="1" applyAlignment="1">
      <alignment horizontal="right" vertical="center"/>
    </xf>
    <xf numFmtId="0" fontId="22" fillId="9" borderId="42" xfId="0" applyFont="1" applyFill="1" applyBorder="1" applyAlignment="1">
      <alignment horizontal="center" vertical="center" wrapText="1"/>
    </xf>
    <xf numFmtId="0" fontId="22" fillId="9" borderId="38" xfId="0" applyFont="1" applyFill="1" applyBorder="1" applyAlignment="1">
      <alignment horizontal="center" vertical="center" wrapText="1"/>
    </xf>
    <xf numFmtId="0" fontId="22" fillId="9" borderId="39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left" vertical="center"/>
    </xf>
    <xf numFmtId="0" fontId="9" fillId="5" borderId="38" xfId="0" applyFont="1" applyFill="1" applyBorder="1" applyAlignment="1">
      <alignment horizontal="left" vertical="center"/>
    </xf>
    <xf numFmtId="0" fontId="9" fillId="5" borderId="39" xfId="0" applyFont="1" applyFill="1" applyBorder="1" applyAlignment="1">
      <alignment horizontal="left" vertical="center"/>
    </xf>
    <xf numFmtId="0" fontId="3" fillId="0" borderId="42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20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2" fontId="17" fillId="0" borderId="25" xfId="0" applyNumberFormat="1" applyFont="1" applyFill="1" applyBorder="1" applyAlignment="1">
      <alignment horizontal="center" vertical="center" wrapText="1"/>
    </xf>
    <xf numFmtId="2" fontId="17" fillId="0" borderId="40" xfId="0" applyNumberFormat="1" applyFont="1" applyFill="1" applyBorder="1" applyAlignment="1">
      <alignment horizontal="center" vertical="center" wrapText="1"/>
    </xf>
    <xf numFmtId="2" fontId="17" fillId="0" borderId="44" xfId="0" applyNumberFormat="1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83" fontId="3" fillId="0" borderId="27" xfId="59" applyNumberFormat="1" applyFont="1" applyFill="1" applyBorder="1" applyAlignment="1">
      <alignment horizontal="center" vertical="center" wrapText="1"/>
    </xf>
    <xf numFmtId="183" fontId="3" fillId="0" borderId="55" xfId="59" applyNumberFormat="1" applyFont="1" applyFill="1" applyBorder="1" applyAlignment="1">
      <alignment horizontal="center" vertical="center" wrapText="1"/>
    </xf>
    <xf numFmtId="183" fontId="3" fillId="0" borderId="28" xfId="59" applyNumberFormat="1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2" borderId="33" xfId="0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left" vertical="center" wrapText="1"/>
    </xf>
    <xf numFmtId="0" fontId="17" fillId="0" borderId="32" xfId="0" applyFont="1" applyFill="1" applyBorder="1" applyAlignment="1">
      <alignment horizontal="right" vertical="center" wrapText="1"/>
    </xf>
    <xf numFmtId="0" fontId="17" fillId="0" borderId="40" xfId="0" applyFont="1" applyFill="1" applyBorder="1" applyAlignment="1">
      <alignment horizontal="right" vertical="center" wrapText="1"/>
    </xf>
    <xf numFmtId="0" fontId="17" fillId="0" borderId="35" xfId="0" applyFont="1" applyFill="1" applyBorder="1" applyAlignment="1">
      <alignment horizontal="right" vertical="center" wrapText="1"/>
    </xf>
    <xf numFmtId="0" fontId="17" fillId="0" borderId="33" xfId="0" applyFont="1" applyFill="1" applyBorder="1" applyAlignment="1">
      <alignment horizontal="left" vertical="center" wrapText="1"/>
    </xf>
    <xf numFmtId="0" fontId="17" fillId="0" borderId="41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horizontal="left" vertical="center" wrapText="1"/>
    </xf>
    <xf numFmtId="164" fontId="9" fillId="0" borderId="42" xfId="59" applyNumberFormat="1" applyFont="1" applyFill="1" applyBorder="1" applyAlignment="1">
      <alignment horizontal="right" vertical="center"/>
    </xf>
    <xf numFmtId="164" fontId="9" fillId="0" borderId="38" xfId="59" applyNumberFormat="1" applyFont="1" applyFill="1" applyBorder="1" applyAlignment="1">
      <alignment horizontal="right" vertical="center"/>
    </xf>
    <xf numFmtId="164" fontId="9" fillId="0" borderId="39" xfId="59" applyNumberFormat="1" applyFont="1" applyFill="1" applyBorder="1" applyAlignment="1">
      <alignment horizontal="right" vertical="center"/>
    </xf>
    <xf numFmtId="0" fontId="3" fillId="0" borderId="36" xfId="0" applyFont="1" applyFill="1" applyBorder="1" applyAlignment="1">
      <alignment horizontal="center" vertical="center"/>
    </xf>
    <xf numFmtId="2" fontId="17" fillId="0" borderId="40" xfId="0" applyNumberFormat="1" applyFont="1" applyFill="1" applyBorder="1" applyAlignment="1">
      <alignment horizontal="right" vertical="center" wrapText="1"/>
    </xf>
    <xf numFmtId="2" fontId="17" fillId="0" borderId="35" xfId="0" applyNumberFormat="1" applyFont="1" applyFill="1" applyBorder="1" applyAlignment="1">
      <alignment horizontal="right" vertical="center" wrapText="1"/>
    </xf>
    <xf numFmtId="0" fontId="17" fillId="0" borderId="25" xfId="0" applyFont="1" applyFill="1" applyBorder="1" applyAlignment="1">
      <alignment horizontal="righ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31" xfId="0" applyFont="1" applyFill="1" applyBorder="1" applyAlignment="1">
      <alignment horizontal="left" vertical="center" wrapText="1"/>
    </xf>
    <xf numFmtId="0" fontId="17" fillId="0" borderId="44" xfId="0" applyFont="1" applyFill="1" applyBorder="1" applyAlignment="1">
      <alignment horizontal="right" vertical="center" wrapText="1"/>
    </xf>
    <xf numFmtId="0" fontId="17" fillId="0" borderId="43" xfId="0" applyFont="1" applyFill="1" applyBorder="1" applyAlignment="1">
      <alignment horizontal="left" vertical="center" wrapText="1"/>
    </xf>
    <xf numFmtId="2" fontId="17" fillId="0" borderId="25" xfId="0" applyNumberFormat="1" applyFont="1" applyFill="1" applyBorder="1" applyAlignment="1">
      <alignment horizontal="right" vertical="center" wrapText="1"/>
    </xf>
    <xf numFmtId="2" fontId="17" fillId="0" borderId="44" xfId="0" applyNumberFormat="1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177" fontId="17" fillId="0" borderId="40" xfId="0" applyNumberFormat="1" applyFont="1" applyFill="1" applyBorder="1" applyAlignment="1">
      <alignment horizontal="right" vertical="center" wrapText="1"/>
    </xf>
    <xf numFmtId="177" fontId="17" fillId="0" borderId="35" xfId="0" applyNumberFormat="1" applyFont="1" applyFill="1" applyBorder="1" applyAlignment="1">
      <alignment horizontal="right" vertical="center" wrapText="1"/>
    </xf>
    <xf numFmtId="164" fontId="9" fillId="0" borderId="27" xfId="59" applyNumberFormat="1" applyFont="1" applyFill="1" applyBorder="1" applyAlignment="1">
      <alignment horizontal="right" vertical="center"/>
    </xf>
    <xf numFmtId="164" fontId="9" fillId="0" borderId="55" xfId="59" applyNumberFormat="1" applyFont="1" applyFill="1" applyBorder="1" applyAlignment="1">
      <alignment horizontal="right" vertical="center"/>
    </xf>
    <xf numFmtId="164" fontId="9" fillId="0" borderId="28" xfId="59" applyNumberFormat="1" applyFont="1" applyFill="1" applyBorder="1" applyAlignment="1">
      <alignment horizontal="right" vertical="center"/>
    </xf>
    <xf numFmtId="164" fontId="9" fillId="0" borderId="42" xfId="59" applyNumberFormat="1" applyFont="1" applyFill="1" applyBorder="1" applyAlignment="1">
      <alignment horizontal="center" vertical="center"/>
    </xf>
    <xf numFmtId="164" fontId="9" fillId="0" borderId="38" xfId="59" applyNumberFormat="1" applyFont="1" applyFill="1" applyBorder="1" applyAlignment="1">
      <alignment horizontal="center" vertical="center"/>
    </xf>
    <xf numFmtId="164" fontId="9" fillId="0" borderId="39" xfId="59" applyNumberFormat="1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178" fontId="10" fillId="0" borderId="9" xfId="1" applyNumberFormat="1" applyFont="1" applyBorder="1" applyAlignment="1">
      <alignment horizontal="center"/>
    </xf>
    <xf numFmtId="178" fontId="10" fillId="0" borderId="0" xfId="1" applyNumberFormat="1" applyFont="1" applyAlignment="1">
      <alignment horizontal="center"/>
    </xf>
    <xf numFmtId="178" fontId="11" fillId="0" borderId="2" xfId="1" applyNumberFormat="1" applyFont="1" applyBorder="1" applyAlignment="1">
      <alignment horizontal="center"/>
    </xf>
    <xf numFmtId="178" fontId="11" fillId="0" borderId="3" xfId="1" applyNumberFormat="1" applyFont="1" applyBorder="1" applyAlignment="1">
      <alignment horizontal="center"/>
    </xf>
    <xf numFmtId="178" fontId="11" fillId="0" borderId="4" xfId="1" applyNumberFormat="1" applyFont="1" applyBorder="1" applyAlignment="1">
      <alignment horizontal="center"/>
    </xf>
    <xf numFmtId="178" fontId="11" fillId="0" borderId="5" xfId="1" applyNumberFormat="1" applyFont="1" applyBorder="1" applyAlignment="1">
      <alignment horizontal="center"/>
    </xf>
    <xf numFmtId="178" fontId="11" fillId="0" borderId="0" xfId="1" applyNumberFormat="1" applyFont="1" applyBorder="1" applyAlignment="1">
      <alignment horizontal="center"/>
    </xf>
    <xf numFmtId="178" fontId="11" fillId="0" borderId="6" xfId="1" applyNumberFormat="1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42" xfId="0" applyFont="1" applyBorder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8" fillId="0" borderId="51" xfId="0" applyFont="1" applyBorder="1" applyAlignment="1">
      <alignment horizontal="center" wrapText="1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39" xfId="0" applyFont="1" applyBorder="1" applyAlignment="1">
      <alignment horizontal="center"/>
    </xf>
  </cellXfs>
  <cellStyles count="61">
    <cellStyle name="Estilo 1" xfId="7"/>
    <cellStyle name="Euro" xfId="8"/>
    <cellStyle name="Euro 2" xfId="9"/>
    <cellStyle name="Hipervínculo 2" xfId="10"/>
    <cellStyle name="Millares" xfId="1" builtinId="3"/>
    <cellStyle name="Millares [0]" xfId="59" builtinId="6"/>
    <cellStyle name="Millares [0] 2" xfId="11"/>
    <cellStyle name="Millares [0] 2 2" xfId="54"/>
    <cellStyle name="Millares [0] 3" xfId="12"/>
    <cellStyle name="Millares [0] 4" xfId="57"/>
    <cellStyle name="Millares 10" xfId="13"/>
    <cellStyle name="Millares 11" xfId="14"/>
    <cellStyle name="Millares 12" xfId="15"/>
    <cellStyle name="Millares 13" xfId="16"/>
    <cellStyle name="Millares 14" xfId="17"/>
    <cellStyle name="Millares 14 2" xfId="55"/>
    <cellStyle name="Millares 15" xfId="49"/>
    <cellStyle name="Millares 16" xfId="52"/>
    <cellStyle name="Millares 2" xfId="18"/>
    <cellStyle name="Millares 2 2" xfId="48"/>
    <cellStyle name="Millares 3" xfId="5"/>
    <cellStyle name="Millares 3 2" xfId="19"/>
    <cellStyle name="Millares 3 3" xfId="53"/>
    <cellStyle name="Millares 4" xfId="20"/>
    <cellStyle name="Millares 4 2" xfId="56"/>
    <cellStyle name="Millares 5" xfId="21"/>
    <cellStyle name="Millares 6" xfId="22"/>
    <cellStyle name="Millares 7" xfId="23"/>
    <cellStyle name="Millares 8" xfId="24"/>
    <cellStyle name="Millares 9" xfId="25"/>
    <cellStyle name="Moneda" xfId="46" builtinId="4"/>
    <cellStyle name="Moneda [0]" xfId="60" builtinId="7"/>
    <cellStyle name="Moneda 2" xfId="26"/>
    <cellStyle name="Moneda 3" xfId="27"/>
    <cellStyle name="Moneda 4" xfId="28"/>
    <cellStyle name="Moneda 5" xfId="4"/>
    <cellStyle name="Moneda 6" xfId="44"/>
    <cellStyle name="Moneda 7" xfId="50"/>
    <cellStyle name="Moneda 8" xfId="58"/>
    <cellStyle name="Normal" xfId="0" builtinId="0"/>
    <cellStyle name="Normal 10" xfId="29"/>
    <cellStyle name="Normal 2" xfId="2"/>
    <cellStyle name="Normal 2 2" xfId="30"/>
    <cellStyle name="Normal 2_APU 200 - 320 BORRADOR" xfId="31"/>
    <cellStyle name="Normal 3" xfId="3"/>
    <cellStyle name="Normal 3 2" xfId="32"/>
    <cellStyle name="Normal 3 3" xfId="33"/>
    <cellStyle name="Normal 4" xfId="34"/>
    <cellStyle name="Normal 5" xfId="35"/>
    <cellStyle name="Normal 6" xfId="47"/>
    <cellStyle name="Porcentaje" xfId="45" builtinId="5"/>
    <cellStyle name="Porcentaje 2" xfId="36"/>
    <cellStyle name="Porcentaje 3" xfId="51"/>
    <cellStyle name="Porcentual 2" xfId="6"/>
    <cellStyle name="Porcentual 2 2" xfId="37"/>
    <cellStyle name="Porcentual 2 2 2" xfId="38"/>
    <cellStyle name="Porcentual 2 3" xfId="39"/>
    <cellStyle name="Porcentual 3" xfId="40"/>
    <cellStyle name="Porcentual 4" xfId="41"/>
    <cellStyle name="resaltado" xfId="42"/>
    <cellStyle name="TEXT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144</xdr:row>
      <xdr:rowOff>85725</xdr:rowOff>
    </xdr:from>
    <xdr:to>
      <xdr:col>1</xdr:col>
      <xdr:colOff>2588895</xdr:colOff>
      <xdr:row>149</xdr:row>
      <xdr:rowOff>142875</xdr:rowOff>
    </xdr:to>
    <xdr:pic>
      <xdr:nvPicPr>
        <xdr:cNvPr id="3" name="10 Imagen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36623625"/>
          <a:ext cx="1941195" cy="866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8"/>
  <sheetViews>
    <sheetView tabSelected="1" zoomScale="89" zoomScaleNormal="89" workbookViewId="0">
      <selection activeCell="B2" sqref="B2:E2"/>
    </sheetView>
  </sheetViews>
  <sheetFormatPr baseColWidth="10" defaultRowHeight="15" x14ac:dyDescent="0.25"/>
  <cols>
    <col min="1" max="1" width="8.5703125" style="11" customWidth="1"/>
    <col min="3" max="3" width="90.28515625" customWidth="1"/>
    <col min="4" max="4" width="14.42578125" style="11" customWidth="1"/>
    <col min="5" max="5" width="15" style="11" customWidth="1"/>
    <col min="6" max="6" width="16" customWidth="1"/>
    <col min="7" max="7" width="23" style="429" customWidth="1"/>
    <col min="9" max="9" width="17" customWidth="1"/>
    <col min="12" max="12" width="13.28515625" customWidth="1"/>
    <col min="14" max="14" width="16.7109375" customWidth="1"/>
  </cols>
  <sheetData>
    <row r="2" spans="1:14" ht="41.25" customHeight="1" x14ac:dyDescent="0.25">
      <c r="B2" s="544" t="s">
        <v>942</v>
      </c>
      <c r="C2" s="544"/>
      <c r="D2" s="544"/>
      <c r="E2" s="544"/>
      <c r="I2" s="430" t="s">
        <v>943</v>
      </c>
    </row>
    <row r="3" spans="1:14" ht="15" customHeight="1" x14ac:dyDescent="0.25">
      <c r="B3" s="545"/>
      <c r="C3" s="545"/>
      <c r="D3" s="545"/>
      <c r="E3" s="545"/>
      <c r="I3" s="431">
        <v>9.5799999999999996E-2</v>
      </c>
    </row>
    <row r="4" spans="1:14" ht="3" customHeight="1" x14ac:dyDescent="0.25"/>
    <row r="5" spans="1:14" ht="27" customHeight="1" x14ac:dyDescent="0.25">
      <c r="A5" s="432" t="s">
        <v>450</v>
      </c>
      <c r="B5" s="183"/>
      <c r="C5" s="432" t="s">
        <v>234</v>
      </c>
      <c r="D5" s="432" t="s">
        <v>944</v>
      </c>
      <c r="E5" s="432" t="s">
        <v>455</v>
      </c>
      <c r="F5" s="432" t="s">
        <v>945</v>
      </c>
      <c r="G5" s="433" t="s">
        <v>946</v>
      </c>
    </row>
    <row r="6" spans="1:14" ht="20.25" customHeight="1" x14ac:dyDescent="0.25">
      <c r="A6" s="434">
        <v>1</v>
      </c>
      <c r="B6" s="435"/>
      <c r="C6" s="436" t="s">
        <v>232</v>
      </c>
      <c r="D6" s="437"/>
      <c r="E6" s="437"/>
      <c r="F6" s="435"/>
      <c r="G6" s="438">
        <f>+G7</f>
        <v>3060306.4079999998</v>
      </c>
      <c r="H6" s="439"/>
    </row>
    <row r="7" spans="1:14" x14ac:dyDescent="0.25">
      <c r="A7" s="440">
        <v>1.1000000000000001</v>
      </c>
      <c r="B7" s="182"/>
      <c r="C7" s="182" t="s">
        <v>947</v>
      </c>
      <c r="D7" s="440" t="s">
        <v>34</v>
      </c>
      <c r="E7" s="441">
        <v>1258</v>
      </c>
      <c r="F7" s="442">
        <v>2432.6759999999999</v>
      </c>
      <c r="G7" s="443">
        <f>+E7*F7</f>
        <v>3060306.4079999998</v>
      </c>
      <c r="I7" s="444">
        <f>+F7*$I$3</f>
        <v>233.05036079999999</v>
      </c>
      <c r="J7" s="444">
        <v>212.67599999999999</v>
      </c>
      <c r="L7" s="445">
        <f>+J7+F7</f>
        <v>2645.3519999999999</v>
      </c>
      <c r="N7" s="445">
        <f>+E7*L7</f>
        <v>3327852.8159999996</v>
      </c>
    </row>
    <row r="8" spans="1:14" x14ac:dyDescent="0.25">
      <c r="A8" s="434">
        <v>2</v>
      </c>
      <c r="B8" s="436"/>
      <c r="C8" s="436" t="s">
        <v>948</v>
      </c>
      <c r="D8" s="434"/>
      <c r="E8" s="434"/>
      <c r="F8" s="446">
        <v>0</v>
      </c>
      <c r="G8" s="438">
        <f>SUM(G9:G11)</f>
        <v>21103530.048</v>
      </c>
      <c r="H8" s="439"/>
      <c r="I8" s="444">
        <f t="shared" ref="I8:I71" si="0">+F8*$I$3</f>
        <v>0</v>
      </c>
      <c r="J8" s="444">
        <v>0</v>
      </c>
      <c r="L8" s="445">
        <f t="shared" ref="L8:L71" si="1">+J8+F8</f>
        <v>0</v>
      </c>
      <c r="N8" s="445">
        <f t="shared" ref="N8:N71" si="2">+E8*L8</f>
        <v>0</v>
      </c>
    </row>
    <row r="9" spans="1:14" ht="30.75" customHeight="1" x14ac:dyDescent="0.25">
      <c r="A9" s="209">
        <v>2.1</v>
      </c>
      <c r="B9" s="182"/>
      <c r="C9" s="447" t="s">
        <v>949</v>
      </c>
      <c r="D9" s="440" t="s">
        <v>42</v>
      </c>
      <c r="E9" s="441">
        <v>285</v>
      </c>
      <c r="F9" s="442">
        <v>35799.786</v>
      </c>
      <c r="G9" s="448">
        <f>+E9*F9</f>
        <v>10202939.01</v>
      </c>
      <c r="I9" s="444">
        <f t="shared" si="0"/>
        <v>3429.6194987999997</v>
      </c>
      <c r="J9" s="444">
        <v>3129.7860000000001</v>
      </c>
      <c r="L9" s="445">
        <f t="shared" si="1"/>
        <v>38929.572</v>
      </c>
      <c r="N9" s="445">
        <f t="shared" si="2"/>
        <v>11094928.02</v>
      </c>
    </row>
    <row r="10" spans="1:14" x14ac:dyDescent="0.25">
      <c r="A10" s="440">
        <v>2.2000000000000002</v>
      </c>
      <c r="B10" s="182"/>
      <c r="C10" s="182" t="s">
        <v>950</v>
      </c>
      <c r="D10" s="440" t="s">
        <v>71</v>
      </c>
      <c r="E10" s="441">
        <v>135</v>
      </c>
      <c r="F10" s="442">
        <v>25071.903999999999</v>
      </c>
      <c r="G10" s="448">
        <f t="shared" ref="G10:G11" si="3">+E10*F10</f>
        <v>3384707.04</v>
      </c>
      <c r="I10" s="444">
        <f t="shared" si="0"/>
        <v>2401.8884031999996</v>
      </c>
      <c r="J10" s="444">
        <v>2191.904</v>
      </c>
      <c r="L10" s="445">
        <f t="shared" si="1"/>
        <v>27263.807999999997</v>
      </c>
      <c r="N10" s="445">
        <f t="shared" si="2"/>
        <v>3680614.0799999996</v>
      </c>
    </row>
    <row r="11" spans="1:14" x14ac:dyDescent="0.25">
      <c r="A11" s="449">
        <v>2.2999999999999998</v>
      </c>
      <c r="B11" s="450"/>
      <c r="C11" s="451" t="s">
        <v>951</v>
      </c>
      <c r="D11" s="440" t="s">
        <v>71</v>
      </c>
      <c r="E11" s="441">
        <v>126</v>
      </c>
      <c r="F11" s="442">
        <v>59649.873</v>
      </c>
      <c r="G11" s="448">
        <f t="shared" si="3"/>
        <v>7515883.9979999997</v>
      </c>
      <c r="I11" s="444">
        <f t="shared" si="0"/>
        <v>5714.4578333999998</v>
      </c>
      <c r="J11" s="444">
        <v>5214.8729999999996</v>
      </c>
      <c r="L11" s="445">
        <f t="shared" si="1"/>
        <v>64864.745999999999</v>
      </c>
      <c r="N11" s="445">
        <f t="shared" si="2"/>
        <v>8172957.9960000003</v>
      </c>
    </row>
    <row r="12" spans="1:14" x14ac:dyDescent="0.25">
      <c r="A12" s="434">
        <v>3</v>
      </c>
      <c r="B12" s="436"/>
      <c r="C12" s="436" t="s">
        <v>952</v>
      </c>
      <c r="D12" s="434"/>
      <c r="E12" s="434"/>
      <c r="F12" s="446">
        <v>0</v>
      </c>
      <c r="G12" s="438">
        <f>SUM(G13:G15)</f>
        <v>46169727.779080003</v>
      </c>
      <c r="H12" s="439"/>
      <c r="I12" s="444">
        <f t="shared" si="0"/>
        <v>0</v>
      </c>
      <c r="J12" s="444">
        <v>0</v>
      </c>
      <c r="L12" s="445">
        <f t="shared" si="1"/>
        <v>0</v>
      </c>
      <c r="N12" s="445">
        <f t="shared" si="2"/>
        <v>0</v>
      </c>
    </row>
    <row r="13" spans="1:14" x14ac:dyDescent="0.25">
      <c r="A13" s="440">
        <v>3.1</v>
      </c>
      <c r="B13" s="182"/>
      <c r="C13" s="182" t="s">
        <v>953</v>
      </c>
      <c r="D13" s="440" t="s">
        <v>34</v>
      </c>
      <c r="E13" s="441">
        <v>91</v>
      </c>
      <c r="F13" s="442">
        <v>18677.911</v>
      </c>
      <c r="G13" s="443">
        <f>+E13*F13</f>
        <v>1699689.9010000001</v>
      </c>
      <c r="I13" s="444">
        <f t="shared" si="0"/>
        <v>1789.3438738</v>
      </c>
      <c r="J13" s="444">
        <v>1632.9109999999998</v>
      </c>
      <c r="L13" s="445">
        <f t="shared" si="1"/>
        <v>20310.822</v>
      </c>
      <c r="N13" s="445">
        <f t="shared" si="2"/>
        <v>1848284.8019999999</v>
      </c>
    </row>
    <row r="14" spans="1:14" ht="15" customHeight="1" x14ac:dyDescent="0.25">
      <c r="A14" s="209">
        <v>3.2</v>
      </c>
      <c r="B14" s="452"/>
      <c r="C14" s="447" t="s">
        <v>954</v>
      </c>
      <c r="D14" s="440" t="s">
        <v>42</v>
      </c>
      <c r="E14" s="441">
        <v>36.6</v>
      </c>
      <c r="F14" s="448">
        <v>602817.1128</v>
      </c>
      <c r="G14" s="448">
        <f>+E14*F14</f>
        <v>22063106.328480002</v>
      </c>
      <c r="I14" s="444">
        <f t="shared" si="0"/>
        <v>57749.879406239997</v>
      </c>
      <c r="J14" s="444">
        <v>52701.112799999995</v>
      </c>
      <c r="L14" s="445">
        <f t="shared" si="1"/>
        <v>655518.22560000001</v>
      </c>
      <c r="N14" s="445">
        <f t="shared" si="2"/>
        <v>23991967.056960002</v>
      </c>
    </row>
    <row r="15" spans="1:14" ht="15" customHeight="1" x14ac:dyDescent="0.25">
      <c r="A15" s="209">
        <v>3.3</v>
      </c>
      <c r="B15" s="182"/>
      <c r="C15" s="447" t="s">
        <v>955</v>
      </c>
      <c r="D15" s="440" t="s">
        <v>42</v>
      </c>
      <c r="E15" s="441">
        <v>34.5</v>
      </c>
      <c r="F15" s="448">
        <v>649476.27679999999</v>
      </c>
      <c r="G15" s="448">
        <f>+E15*F15</f>
        <v>22406931.549600001</v>
      </c>
      <c r="I15" s="444">
        <f t="shared" si="0"/>
        <v>62219.827317439995</v>
      </c>
      <c r="J15" s="444">
        <v>56780.2768</v>
      </c>
      <c r="L15" s="445">
        <f t="shared" si="1"/>
        <v>706256.55359999998</v>
      </c>
      <c r="N15" s="445">
        <f t="shared" si="2"/>
        <v>24365851.099199999</v>
      </c>
    </row>
    <row r="16" spans="1:14" ht="24.75" customHeight="1" x14ac:dyDescent="0.25">
      <c r="A16" s="453">
        <v>4</v>
      </c>
      <c r="B16" s="454"/>
      <c r="C16" s="454" t="s">
        <v>956</v>
      </c>
      <c r="D16" s="453"/>
      <c r="E16" s="453"/>
      <c r="F16" s="454"/>
      <c r="G16" s="455">
        <f>SUM(G17:G21)</f>
        <v>48309145.125600003</v>
      </c>
      <c r="H16" s="439"/>
      <c r="I16" s="444">
        <f t="shared" si="0"/>
        <v>0</v>
      </c>
      <c r="J16" s="444">
        <v>0</v>
      </c>
      <c r="L16" s="445">
        <f t="shared" si="1"/>
        <v>0</v>
      </c>
      <c r="N16" s="445">
        <f t="shared" si="2"/>
        <v>0</v>
      </c>
    </row>
    <row r="17" spans="1:14" ht="45.75" customHeight="1" x14ac:dyDescent="0.25">
      <c r="A17" s="209">
        <v>4.0999999999999996</v>
      </c>
      <c r="B17" s="452"/>
      <c r="C17" s="447" t="s">
        <v>957</v>
      </c>
      <c r="D17" s="209" t="s">
        <v>42</v>
      </c>
      <c r="E17" s="456">
        <v>29.6</v>
      </c>
      <c r="F17" s="442">
        <v>766457.31</v>
      </c>
      <c r="G17" s="448">
        <f>+E17*F17</f>
        <v>22687136.376000002</v>
      </c>
      <c r="I17" s="444">
        <f t="shared" si="0"/>
        <v>73426.610298</v>
      </c>
      <c r="J17" s="444">
        <v>67007.31</v>
      </c>
      <c r="L17" s="445">
        <f t="shared" si="1"/>
        <v>833464.62000000011</v>
      </c>
      <c r="N17" s="445">
        <f t="shared" si="2"/>
        <v>24670552.752000004</v>
      </c>
    </row>
    <row r="18" spans="1:14" ht="15" customHeight="1" x14ac:dyDescent="0.25">
      <c r="A18" s="209">
        <v>4.2</v>
      </c>
      <c r="B18" s="182"/>
      <c r="C18" s="447" t="s">
        <v>958</v>
      </c>
      <c r="D18" s="209" t="s">
        <v>42</v>
      </c>
      <c r="E18" s="456">
        <v>22.68</v>
      </c>
      <c r="F18" s="448">
        <v>795550.8</v>
      </c>
      <c r="G18" s="448">
        <f t="shared" ref="G18:G21" si="4">+E18*F18</f>
        <v>18043092.144000001</v>
      </c>
      <c r="I18" s="444">
        <f t="shared" si="0"/>
        <v>76213.766640000002</v>
      </c>
      <c r="J18" s="444">
        <v>69550.8</v>
      </c>
      <c r="L18" s="445">
        <f t="shared" si="1"/>
        <v>865101.60000000009</v>
      </c>
      <c r="N18" s="445">
        <f t="shared" si="2"/>
        <v>19620504.288000003</v>
      </c>
    </row>
    <row r="19" spans="1:14" ht="3.75" hidden="1" customHeight="1" x14ac:dyDescent="0.25">
      <c r="A19" s="209"/>
      <c r="B19" s="182"/>
      <c r="C19" s="447"/>
      <c r="D19" s="209"/>
      <c r="E19" s="456"/>
      <c r="F19" s="448">
        <v>0</v>
      </c>
      <c r="G19" s="448">
        <f t="shared" si="4"/>
        <v>0</v>
      </c>
      <c r="I19" s="444">
        <f t="shared" si="0"/>
        <v>0</v>
      </c>
      <c r="J19" s="444">
        <v>0</v>
      </c>
      <c r="L19" s="445">
        <f t="shared" si="1"/>
        <v>0</v>
      </c>
      <c r="N19" s="445">
        <f t="shared" si="2"/>
        <v>0</v>
      </c>
    </row>
    <row r="20" spans="1:14" ht="15" customHeight="1" x14ac:dyDescent="0.25">
      <c r="A20" s="209">
        <v>4.3</v>
      </c>
      <c r="B20" s="182"/>
      <c r="C20" s="447" t="s">
        <v>959</v>
      </c>
      <c r="D20" s="209" t="s">
        <v>34</v>
      </c>
      <c r="E20" s="456">
        <v>50.2</v>
      </c>
      <c r="F20" s="442">
        <v>128537.34</v>
      </c>
      <c r="G20" s="448">
        <f t="shared" si="4"/>
        <v>6452574.4680000003</v>
      </c>
      <c r="I20" s="444">
        <f t="shared" si="0"/>
        <v>12313.877171999999</v>
      </c>
      <c r="J20" s="444">
        <v>11237.34</v>
      </c>
      <c r="L20" s="445">
        <f t="shared" si="1"/>
        <v>139774.68</v>
      </c>
      <c r="N20" s="445">
        <f t="shared" si="2"/>
        <v>7016688.9359999998</v>
      </c>
    </row>
    <row r="21" spans="1:14" ht="15" customHeight="1" x14ac:dyDescent="0.25">
      <c r="A21" s="209">
        <v>4.4000000000000004</v>
      </c>
      <c r="B21" s="452" t="s">
        <v>960</v>
      </c>
      <c r="C21" s="447" t="s">
        <v>961</v>
      </c>
      <c r="D21" s="209" t="s">
        <v>42</v>
      </c>
      <c r="E21" s="456">
        <v>1.66</v>
      </c>
      <c r="F21" s="448">
        <v>678519.36</v>
      </c>
      <c r="G21" s="448">
        <f t="shared" si="4"/>
        <v>1126342.1376</v>
      </c>
      <c r="I21" s="444">
        <f t="shared" si="0"/>
        <v>65002.154687999995</v>
      </c>
      <c r="J21" s="444">
        <v>59319.360000000001</v>
      </c>
      <c r="L21" s="445">
        <f t="shared" si="1"/>
        <v>737838.72</v>
      </c>
      <c r="N21" s="445">
        <f t="shared" si="2"/>
        <v>1224812.2751999998</v>
      </c>
    </row>
    <row r="22" spans="1:14" x14ac:dyDescent="0.25">
      <c r="A22" s="437">
        <v>5</v>
      </c>
      <c r="B22" s="435"/>
      <c r="C22" s="435" t="s">
        <v>484</v>
      </c>
      <c r="D22" s="437"/>
      <c r="E22" s="437"/>
      <c r="F22" s="435"/>
      <c r="G22" s="457">
        <f>SUM(G23:G24)</f>
        <v>103837251.89799999</v>
      </c>
      <c r="H22" s="439"/>
      <c r="I22" s="444">
        <f t="shared" si="0"/>
        <v>0</v>
      </c>
      <c r="J22" s="444">
        <v>0</v>
      </c>
      <c r="L22" s="445">
        <f t="shared" si="1"/>
        <v>0</v>
      </c>
      <c r="N22" s="445">
        <f t="shared" si="2"/>
        <v>0</v>
      </c>
    </row>
    <row r="23" spans="1:14" ht="15" customHeight="1" x14ac:dyDescent="0.25">
      <c r="A23" s="209">
        <v>5.0999999999999996</v>
      </c>
      <c r="B23" s="182"/>
      <c r="C23" s="447" t="s">
        <v>962</v>
      </c>
      <c r="D23" s="209" t="s">
        <v>963</v>
      </c>
      <c r="E23" s="456">
        <v>19770</v>
      </c>
      <c r="F23" s="442">
        <v>4637.4255999999996</v>
      </c>
      <c r="G23" s="448">
        <f>+E23*F23</f>
        <v>91681904.111999989</v>
      </c>
      <c r="I23" s="444">
        <f t="shared" si="0"/>
        <v>444.26537247999994</v>
      </c>
      <c r="J23" s="444">
        <v>405.42559999999997</v>
      </c>
      <c r="L23" s="445">
        <f t="shared" si="1"/>
        <v>5042.8511999999992</v>
      </c>
      <c r="N23" s="445">
        <f t="shared" si="2"/>
        <v>99697168.223999977</v>
      </c>
    </row>
    <row r="24" spans="1:14" ht="15" customHeight="1" x14ac:dyDescent="0.25">
      <c r="A24" s="209">
        <v>5.2</v>
      </c>
      <c r="B24" s="452" t="s">
        <v>960</v>
      </c>
      <c r="C24" s="447" t="s">
        <v>964</v>
      </c>
      <c r="D24" s="209" t="s">
        <v>963</v>
      </c>
      <c r="E24" s="456">
        <v>2610.04</v>
      </c>
      <c r="F24" s="442">
        <v>4657.1499999999996</v>
      </c>
      <c r="G24" s="448">
        <f>+E24*F24</f>
        <v>12155347.785999998</v>
      </c>
      <c r="I24" s="444">
        <f t="shared" si="0"/>
        <v>446.15496999999993</v>
      </c>
      <c r="J24" s="444">
        <v>407.15</v>
      </c>
      <c r="L24" s="445">
        <f t="shared" si="1"/>
        <v>5064.2999999999993</v>
      </c>
      <c r="N24" s="445">
        <f t="shared" si="2"/>
        <v>13218025.571999999</v>
      </c>
    </row>
    <row r="25" spans="1:14" x14ac:dyDescent="0.25">
      <c r="A25" s="437">
        <v>6</v>
      </c>
      <c r="B25" s="435"/>
      <c r="C25" s="435" t="s">
        <v>965</v>
      </c>
      <c r="D25" s="437"/>
      <c r="E25" s="437"/>
      <c r="F25" s="435"/>
      <c r="G25" s="457">
        <f>SUM(G26:G29)</f>
        <v>69655079.283199996</v>
      </c>
      <c r="H25" s="439"/>
      <c r="I25" s="444">
        <f t="shared" si="0"/>
        <v>0</v>
      </c>
      <c r="J25" s="444">
        <v>0</v>
      </c>
      <c r="L25" s="445">
        <f t="shared" si="1"/>
        <v>0</v>
      </c>
      <c r="N25" s="445">
        <f t="shared" si="2"/>
        <v>0</v>
      </c>
    </row>
    <row r="26" spans="1:14" ht="15" customHeight="1" x14ac:dyDescent="0.25">
      <c r="A26" s="209">
        <v>6.1</v>
      </c>
      <c r="B26" s="182"/>
      <c r="C26" s="447" t="s">
        <v>966</v>
      </c>
      <c r="D26" s="209" t="s">
        <v>34</v>
      </c>
      <c r="E26" s="458">
        <v>736</v>
      </c>
      <c r="F26" s="442">
        <v>58734.879999999997</v>
      </c>
      <c r="G26" s="448">
        <f>+E26*F26</f>
        <v>43228871.68</v>
      </c>
      <c r="I26" s="444">
        <f t="shared" si="0"/>
        <v>5626.8015039999991</v>
      </c>
      <c r="J26" s="444">
        <v>5134.88</v>
      </c>
      <c r="L26" s="445">
        <f t="shared" si="1"/>
        <v>63869.759999999995</v>
      </c>
      <c r="N26" s="445">
        <f t="shared" si="2"/>
        <v>47008143.359999999</v>
      </c>
    </row>
    <row r="27" spans="1:14" ht="15" customHeight="1" x14ac:dyDescent="0.25">
      <c r="A27" s="459">
        <v>6.2</v>
      </c>
      <c r="B27" s="182"/>
      <c r="C27" s="447" t="s">
        <v>967</v>
      </c>
      <c r="D27" s="209" t="s">
        <v>34</v>
      </c>
      <c r="E27" s="458">
        <v>420</v>
      </c>
      <c r="F27" s="442">
        <v>49169.641799999998</v>
      </c>
      <c r="G27" s="448">
        <f t="shared" ref="G27:G29" si="5">+E27*F27</f>
        <v>20651249.555999998</v>
      </c>
      <c r="I27" s="444">
        <f t="shared" si="0"/>
        <v>4710.4516844399996</v>
      </c>
      <c r="J27" s="444">
        <v>4298.6417999999994</v>
      </c>
      <c r="L27" s="445">
        <f t="shared" si="1"/>
        <v>53468.283599999995</v>
      </c>
      <c r="N27" s="445">
        <f t="shared" si="2"/>
        <v>22456679.112</v>
      </c>
    </row>
    <row r="28" spans="1:14" ht="15" customHeight="1" x14ac:dyDescent="0.25">
      <c r="A28" s="459">
        <v>6.3</v>
      </c>
      <c r="B28" s="452" t="s">
        <v>960</v>
      </c>
      <c r="C28" s="447" t="s">
        <v>968</v>
      </c>
      <c r="D28" s="209" t="s">
        <v>34</v>
      </c>
      <c r="E28" s="458">
        <v>532</v>
      </c>
      <c r="F28" s="442">
        <v>8559.2937999999995</v>
      </c>
      <c r="G28" s="448">
        <f t="shared" si="5"/>
        <v>4553544.3015999999</v>
      </c>
      <c r="I28" s="444">
        <f t="shared" si="0"/>
        <v>819.98034603999997</v>
      </c>
      <c r="J28" s="444">
        <v>748.29379999999992</v>
      </c>
      <c r="L28" s="445">
        <f t="shared" si="1"/>
        <v>9307.5875999999989</v>
      </c>
      <c r="N28" s="445">
        <f t="shared" si="2"/>
        <v>4951636.6031999998</v>
      </c>
    </row>
    <row r="29" spans="1:14" x14ac:dyDescent="0.25">
      <c r="A29" s="276">
        <v>6.4</v>
      </c>
      <c r="B29" s="182"/>
      <c r="C29" s="182" t="s">
        <v>969</v>
      </c>
      <c r="D29" s="440" t="s">
        <v>34</v>
      </c>
      <c r="E29" s="458">
        <v>24</v>
      </c>
      <c r="F29" s="442">
        <v>50892.239399999999</v>
      </c>
      <c r="G29" s="448">
        <f t="shared" si="5"/>
        <v>1221413.7456</v>
      </c>
      <c r="I29" s="444">
        <f t="shared" si="0"/>
        <v>4875.4765345199994</v>
      </c>
      <c r="J29" s="444">
        <v>4449.2393999999995</v>
      </c>
      <c r="L29" s="445">
        <f t="shared" si="1"/>
        <v>55341.478799999997</v>
      </c>
      <c r="N29" s="445">
        <f t="shared" si="2"/>
        <v>1328195.4912</v>
      </c>
    </row>
    <row r="30" spans="1:14" x14ac:dyDescent="0.25">
      <c r="A30" s="460">
        <v>7</v>
      </c>
      <c r="B30" s="454" t="s">
        <v>970</v>
      </c>
      <c r="C30" s="454"/>
      <c r="D30" s="453"/>
      <c r="E30" s="453"/>
      <c r="F30" s="454"/>
      <c r="G30" s="461">
        <f>SUM(G31:G36)</f>
        <v>276591990.36849606</v>
      </c>
      <c r="H30" s="439"/>
      <c r="I30" s="444">
        <f t="shared" si="0"/>
        <v>0</v>
      </c>
      <c r="J30" s="444">
        <v>0</v>
      </c>
      <c r="L30" s="445">
        <f t="shared" si="1"/>
        <v>0</v>
      </c>
      <c r="N30" s="445">
        <f t="shared" si="2"/>
        <v>0</v>
      </c>
    </row>
    <row r="31" spans="1:14" ht="15" customHeight="1" x14ac:dyDescent="0.25">
      <c r="A31" s="459">
        <v>7.1</v>
      </c>
      <c r="B31" s="182"/>
      <c r="C31" s="447" t="s">
        <v>971</v>
      </c>
      <c r="D31" s="440" t="s">
        <v>963</v>
      </c>
      <c r="E31" s="440">
        <v>22312.93</v>
      </c>
      <c r="F31" s="442">
        <v>8968.0272000000004</v>
      </c>
      <c r="G31" s="462">
        <f>+E31*F31</f>
        <v>200102963.15169603</v>
      </c>
      <c r="I31" s="444">
        <f t="shared" si="0"/>
        <v>859.13700575999997</v>
      </c>
      <c r="J31" s="444">
        <v>784.02719999999999</v>
      </c>
      <c r="L31" s="445">
        <f t="shared" si="1"/>
        <v>9752.0544000000009</v>
      </c>
      <c r="N31" s="445">
        <f t="shared" si="2"/>
        <v>217596907.18339202</v>
      </c>
    </row>
    <row r="32" spans="1:14" x14ac:dyDescent="0.25">
      <c r="A32" s="276">
        <v>7.2</v>
      </c>
      <c r="B32" s="182"/>
      <c r="C32" s="182" t="s">
        <v>972</v>
      </c>
      <c r="D32" s="440" t="s">
        <v>34</v>
      </c>
      <c r="E32" s="456">
        <v>1319</v>
      </c>
      <c r="F32" s="442">
        <v>52328.833200000001</v>
      </c>
      <c r="G32" s="462">
        <f t="shared" ref="G32:G36" si="6">+E32*F32</f>
        <v>69021730.990800008</v>
      </c>
      <c r="I32" s="444">
        <f t="shared" si="0"/>
        <v>5013.1022205600002</v>
      </c>
      <c r="J32" s="444">
        <v>4574.8332</v>
      </c>
      <c r="L32" s="445">
        <f t="shared" si="1"/>
        <v>56903.666400000002</v>
      </c>
      <c r="N32" s="445">
        <f t="shared" si="2"/>
        <v>75055935.981600001</v>
      </c>
    </row>
    <row r="33" spans="1:14" x14ac:dyDescent="0.25">
      <c r="A33" s="276">
        <v>7.3</v>
      </c>
      <c r="B33" s="440" t="s">
        <v>960</v>
      </c>
      <c r="C33" s="182" t="s">
        <v>973</v>
      </c>
      <c r="D33" s="440" t="s">
        <v>974</v>
      </c>
      <c r="E33" s="456">
        <v>36</v>
      </c>
      <c r="F33" s="442">
        <v>57639.08</v>
      </c>
      <c r="G33" s="462">
        <f t="shared" si="6"/>
        <v>2075006.8800000001</v>
      </c>
      <c r="I33" s="444">
        <f t="shared" si="0"/>
        <v>5521.823864</v>
      </c>
      <c r="J33" s="444">
        <v>5039.08</v>
      </c>
      <c r="L33" s="445">
        <f t="shared" si="1"/>
        <v>62678.16</v>
      </c>
      <c r="N33" s="445">
        <f t="shared" si="2"/>
        <v>2256413.7600000002</v>
      </c>
    </row>
    <row r="34" spans="1:14" ht="32.25" customHeight="1" x14ac:dyDescent="0.25">
      <c r="A34" s="459">
        <v>7.4</v>
      </c>
      <c r="B34" s="182"/>
      <c r="C34" s="447" t="s">
        <v>975</v>
      </c>
      <c r="D34" s="440" t="s">
        <v>974</v>
      </c>
      <c r="E34" s="456">
        <v>66</v>
      </c>
      <c r="F34" s="442">
        <v>60581.303</v>
      </c>
      <c r="G34" s="462">
        <f t="shared" si="6"/>
        <v>3998365.9980000001</v>
      </c>
      <c r="I34" s="444">
        <f t="shared" si="0"/>
        <v>5803.6888273999994</v>
      </c>
      <c r="J34" s="444">
        <v>5296.3029999999999</v>
      </c>
      <c r="L34" s="445">
        <f t="shared" si="1"/>
        <v>65877.606</v>
      </c>
      <c r="N34" s="445">
        <f t="shared" si="2"/>
        <v>4347921.9960000003</v>
      </c>
    </row>
    <row r="35" spans="1:14" x14ac:dyDescent="0.25">
      <c r="A35" s="276">
        <v>7.5</v>
      </c>
      <c r="B35" s="182"/>
      <c r="C35" s="182" t="s">
        <v>976</v>
      </c>
      <c r="D35" s="440" t="s">
        <v>974</v>
      </c>
      <c r="E35" s="456">
        <v>45</v>
      </c>
      <c r="F35" s="442">
        <v>28216.85</v>
      </c>
      <c r="G35" s="462">
        <f t="shared" si="6"/>
        <v>1269758.25</v>
      </c>
      <c r="I35" s="444">
        <f t="shared" si="0"/>
        <v>2703.1742299999996</v>
      </c>
      <c r="J35" s="444">
        <v>2466.85</v>
      </c>
      <c r="L35" s="445">
        <f t="shared" si="1"/>
        <v>30683.699999999997</v>
      </c>
      <c r="N35" s="445">
        <f t="shared" si="2"/>
        <v>1380766.4999999998</v>
      </c>
    </row>
    <row r="36" spans="1:14" ht="31.5" customHeight="1" x14ac:dyDescent="0.25">
      <c r="A36" s="459">
        <v>7.6</v>
      </c>
      <c r="B36" s="452" t="s">
        <v>960</v>
      </c>
      <c r="C36" s="447" t="s">
        <v>977</v>
      </c>
      <c r="D36" s="440" t="s">
        <v>2</v>
      </c>
      <c r="E36" s="456">
        <v>6</v>
      </c>
      <c r="F36" s="442">
        <v>20694.183000000001</v>
      </c>
      <c r="G36" s="462">
        <f t="shared" si="6"/>
        <v>124165.098</v>
      </c>
      <c r="I36" s="444">
        <f t="shared" si="0"/>
        <v>1982.5027313999999</v>
      </c>
      <c r="J36" s="444">
        <v>1809.183</v>
      </c>
      <c r="L36" s="445">
        <f t="shared" si="1"/>
        <v>22503.366000000002</v>
      </c>
      <c r="N36" s="445">
        <f t="shared" si="2"/>
        <v>135020.196</v>
      </c>
    </row>
    <row r="37" spans="1:14" x14ac:dyDescent="0.25">
      <c r="A37" s="460">
        <v>8</v>
      </c>
      <c r="B37" s="454"/>
      <c r="C37" s="454" t="s">
        <v>978</v>
      </c>
      <c r="D37" s="453"/>
      <c r="E37" s="453"/>
      <c r="F37" s="454"/>
      <c r="G37" s="461">
        <f>SUM(G38:G44)</f>
        <v>30277351.556239996</v>
      </c>
      <c r="H37" s="439"/>
      <c r="I37" s="444">
        <f t="shared" si="0"/>
        <v>0</v>
      </c>
      <c r="J37" s="444">
        <v>0</v>
      </c>
      <c r="L37" s="445">
        <f t="shared" si="1"/>
        <v>0</v>
      </c>
      <c r="N37" s="445">
        <f t="shared" si="2"/>
        <v>0</v>
      </c>
    </row>
    <row r="38" spans="1:14" ht="27.75" customHeight="1" x14ac:dyDescent="0.25">
      <c r="A38" s="459">
        <v>8.1</v>
      </c>
      <c r="B38" s="182"/>
      <c r="C38" s="447" t="s">
        <v>979</v>
      </c>
      <c r="D38" s="209" t="s">
        <v>34</v>
      </c>
      <c r="E38" s="458">
        <v>58</v>
      </c>
      <c r="F38" s="448">
        <v>65557.330799999996</v>
      </c>
      <c r="G38" s="463">
        <f>+E38*F38</f>
        <v>3802325.1864</v>
      </c>
      <c r="I38" s="444">
        <f t="shared" si="0"/>
        <v>6280.3922906399994</v>
      </c>
      <c r="J38" s="444">
        <v>5731.3307999999997</v>
      </c>
      <c r="L38" s="445">
        <f t="shared" si="1"/>
        <v>71288.661599999992</v>
      </c>
      <c r="N38" s="445">
        <f t="shared" si="2"/>
        <v>4134742.3727999995</v>
      </c>
    </row>
    <row r="39" spans="1:14" ht="32.25" customHeight="1" x14ac:dyDescent="0.25">
      <c r="A39" s="276">
        <v>8.1999999999999993</v>
      </c>
      <c r="B39" s="182"/>
      <c r="C39" s="447" t="s">
        <v>979</v>
      </c>
      <c r="D39" s="209" t="s">
        <v>34</v>
      </c>
      <c r="E39" s="458">
        <v>254</v>
      </c>
      <c r="F39" s="448">
        <v>71642.308199999999</v>
      </c>
      <c r="G39" s="463">
        <f t="shared" ref="G39:G44" si="7">+E39*F39</f>
        <v>18197146.2828</v>
      </c>
      <c r="I39" s="444">
        <f t="shared" si="0"/>
        <v>6863.3331255599996</v>
      </c>
      <c r="J39" s="444">
        <v>6263.3081999999995</v>
      </c>
      <c r="L39" s="445">
        <f t="shared" si="1"/>
        <v>77905.616399999999</v>
      </c>
      <c r="N39" s="445">
        <f t="shared" si="2"/>
        <v>19788026.5656</v>
      </c>
    </row>
    <row r="40" spans="1:14" ht="30" customHeight="1" x14ac:dyDescent="0.25">
      <c r="A40" s="459">
        <v>8.3000000000000007</v>
      </c>
      <c r="B40" s="452" t="s">
        <v>960</v>
      </c>
      <c r="C40" s="447" t="s">
        <v>980</v>
      </c>
      <c r="D40" s="209" t="s">
        <v>41</v>
      </c>
      <c r="E40" s="458">
        <v>91.2</v>
      </c>
      <c r="F40" s="448">
        <v>53731.457199999997</v>
      </c>
      <c r="G40" s="463">
        <f t="shared" si="7"/>
        <v>4900308.8966399999</v>
      </c>
      <c r="I40" s="444">
        <f t="shared" si="0"/>
        <v>5147.4735997599992</v>
      </c>
      <c r="J40" s="444">
        <v>4697.4571999999998</v>
      </c>
      <c r="L40" s="445">
        <f t="shared" si="1"/>
        <v>58428.914399999994</v>
      </c>
      <c r="N40" s="445">
        <f t="shared" si="2"/>
        <v>5328716.9932800001</v>
      </c>
    </row>
    <row r="41" spans="1:14" ht="30" customHeight="1" x14ac:dyDescent="0.25">
      <c r="A41" s="459">
        <v>8.4</v>
      </c>
      <c r="B41" s="182"/>
      <c r="C41" s="447" t="s">
        <v>981</v>
      </c>
      <c r="D41" s="209" t="s">
        <v>974</v>
      </c>
      <c r="E41" s="458">
        <v>37</v>
      </c>
      <c r="F41" s="448">
        <v>28784.474399999999</v>
      </c>
      <c r="G41" s="463">
        <f t="shared" si="7"/>
        <v>1065025.5527999999</v>
      </c>
      <c r="I41" s="444">
        <f t="shared" si="0"/>
        <v>2757.5526475199999</v>
      </c>
      <c r="J41" s="444">
        <v>2516.4744000000001</v>
      </c>
      <c r="L41" s="445">
        <f t="shared" si="1"/>
        <v>31300.948799999998</v>
      </c>
      <c r="N41" s="445">
        <f t="shared" si="2"/>
        <v>1158135.1055999999</v>
      </c>
    </row>
    <row r="42" spans="1:14" ht="26.25" customHeight="1" x14ac:dyDescent="0.25">
      <c r="A42" s="459">
        <v>8.5</v>
      </c>
      <c r="B42" s="182"/>
      <c r="C42" s="447" t="s">
        <v>982</v>
      </c>
      <c r="D42" s="209" t="s">
        <v>974</v>
      </c>
      <c r="E42" s="458">
        <v>50</v>
      </c>
      <c r="F42" s="448">
        <v>28784.474399999999</v>
      </c>
      <c r="G42" s="463">
        <f t="shared" si="7"/>
        <v>1439223.72</v>
      </c>
      <c r="I42" s="444">
        <f t="shared" si="0"/>
        <v>2757.5526475199999</v>
      </c>
      <c r="J42" s="444">
        <v>2516.4744000000001</v>
      </c>
      <c r="L42" s="445">
        <f t="shared" si="1"/>
        <v>31300.948799999998</v>
      </c>
      <c r="N42" s="445">
        <f t="shared" si="2"/>
        <v>1565047.44</v>
      </c>
    </row>
    <row r="43" spans="1:14" x14ac:dyDescent="0.25">
      <c r="A43" s="276">
        <v>8.6</v>
      </c>
      <c r="B43" s="440" t="s">
        <v>960</v>
      </c>
      <c r="C43" s="182" t="s">
        <v>983</v>
      </c>
      <c r="D43" s="209" t="s">
        <v>974</v>
      </c>
      <c r="E43" s="458">
        <v>8</v>
      </c>
      <c r="F43" s="464">
        <v>34846.44</v>
      </c>
      <c r="G43" s="463">
        <f t="shared" si="7"/>
        <v>278771.52</v>
      </c>
      <c r="I43" s="444">
        <f t="shared" si="0"/>
        <v>3338.2889519999999</v>
      </c>
      <c r="J43" s="444">
        <v>3046.44</v>
      </c>
      <c r="L43" s="445">
        <f t="shared" si="1"/>
        <v>37892.880000000005</v>
      </c>
      <c r="N43" s="445">
        <f t="shared" si="2"/>
        <v>303143.04000000004</v>
      </c>
    </row>
    <row r="44" spans="1:14" x14ac:dyDescent="0.25">
      <c r="A44" s="276">
        <v>8.6999999999999993</v>
      </c>
      <c r="B44" s="182"/>
      <c r="C44" s="182" t="s">
        <v>984</v>
      </c>
      <c r="D44" s="209" t="s">
        <v>34</v>
      </c>
      <c r="E44" s="458">
        <v>34</v>
      </c>
      <c r="F44" s="464">
        <v>17486.776399999999</v>
      </c>
      <c r="G44" s="463">
        <f t="shared" si="7"/>
        <v>594550.39759999991</v>
      </c>
      <c r="I44" s="444">
        <f t="shared" si="0"/>
        <v>1675.2331791199999</v>
      </c>
      <c r="J44" s="444">
        <v>1528.7764</v>
      </c>
      <c r="L44" s="445">
        <f t="shared" si="1"/>
        <v>19015.552799999998</v>
      </c>
      <c r="N44" s="445">
        <f t="shared" si="2"/>
        <v>646528.79519999993</v>
      </c>
    </row>
    <row r="45" spans="1:14" x14ac:dyDescent="0.25">
      <c r="A45" s="460">
        <v>9</v>
      </c>
      <c r="B45" s="454"/>
      <c r="C45" s="454" t="s">
        <v>985</v>
      </c>
      <c r="D45" s="453"/>
      <c r="E45" s="453"/>
      <c r="F45" s="454"/>
      <c r="G45" s="461">
        <f>SUM(G46:G50)</f>
        <v>14524373.410192002</v>
      </c>
      <c r="H45" s="439"/>
      <c r="I45" s="444">
        <f t="shared" si="0"/>
        <v>0</v>
      </c>
      <c r="J45" s="444">
        <v>0</v>
      </c>
      <c r="L45" s="445">
        <f t="shared" si="1"/>
        <v>0</v>
      </c>
      <c r="N45" s="445">
        <f t="shared" si="2"/>
        <v>0</v>
      </c>
    </row>
    <row r="46" spans="1:14" ht="15" customHeight="1" x14ac:dyDescent="0.25">
      <c r="A46" s="459">
        <v>9.1</v>
      </c>
      <c r="B46" s="182"/>
      <c r="C46" s="447" t="s">
        <v>986</v>
      </c>
      <c r="D46" s="209" t="s">
        <v>34</v>
      </c>
      <c r="E46" s="458">
        <v>34</v>
      </c>
      <c r="F46" s="464">
        <v>40477.756200000003</v>
      </c>
      <c r="G46" s="463">
        <f>+E46*F46</f>
        <v>1376243.7108</v>
      </c>
      <c r="I46" s="444">
        <f t="shared" si="0"/>
        <v>3877.7690439600001</v>
      </c>
      <c r="J46" s="444">
        <v>3538.7561999999998</v>
      </c>
      <c r="L46" s="445">
        <f t="shared" si="1"/>
        <v>44016.512400000007</v>
      </c>
      <c r="N46" s="445">
        <f t="shared" si="2"/>
        <v>1496561.4216000002</v>
      </c>
    </row>
    <row r="47" spans="1:14" ht="15" customHeight="1" x14ac:dyDescent="0.25">
      <c r="A47" s="459">
        <v>9.1999999999999993</v>
      </c>
      <c r="B47" s="182"/>
      <c r="C47" s="447" t="s">
        <v>987</v>
      </c>
      <c r="D47" s="209" t="s">
        <v>34</v>
      </c>
      <c r="E47" s="458">
        <v>2.16</v>
      </c>
      <c r="F47" s="464">
        <v>42669.356200000002</v>
      </c>
      <c r="G47" s="463">
        <f t="shared" ref="G47:G50" si="8">+E47*F47</f>
        <v>92165.80939200001</v>
      </c>
      <c r="I47" s="444">
        <f t="shared" si="0"/>
        <v>4087.7243239600002</v>
      </c>
      <c r="J47" s="444">
        <v>3730.3561999999997</v>
      </c>
      <c r="L47" s="445">
        <f t="shared" si="1"/>
        <v>46399.712400000004</v>
      </c>
      <c r="N47" s="445">
        <f t="shared" si="2"/>
        <v>100223.37878400002</v>
      </c>
    </row>
    <row r="48" spans="1:14" x14ac:dyDescent="0.25">
      <c r="A48" s="276">
        <v>9.3000000000000007</v>
      </c>
      <c r="B48" s="182" t="s">
        <v>960</v>
      </c>
      <c r="C48" s="182" t="s">
        <v>988</v>
      </c>
      <c r="D48" s="440" t="s">
        <v>34</v>
      </c>
      <c r="E48" s="458">
        <v>171.55</v>
      </c>
      <c r="F48" s="464">
        <v>66843.8</v>
      </c>
      <c r="G48" s="463">
        <f t="shared" si="8"/>
        <v>11467053.890000001</v>
      </c>
      <c r="I48" s="444">
        <f t="shared" si="0"/>
        <v>6403.6360400000003</v>
      </c>
      <c r="J48" s="444">
        <v>5843.8</v>
      </c>
      <c r="L48" s="445">
        <f t="shared" si="1"/>
        <v>72687.600000000006</v>
      </c>
      <c r="N48" s="445">
        <f t="shared" si="2"/>
        <v>12469557.780000001</v>
      </c>
    </row>
    <row r="49" spans="1:14" x14ac:dyDescent="0.25">
      <c r="A49" s="276">
        <v>9.4</v>
      </c>
      <c r="B49" s="182" t="s">
        <v>960</v>
      </c>
      <c r="C49" s="182" t="s">
        <v>989</v>
      </c>
      <c r="D49" s="440" t="s">
        <v>990</v>
      </c>
      <c r="E49" s="458">
        <v>1</v>
      </c>
      <c r="F49" s="464">
        <v>142454</v>
      </c>
      <c r="G49" s="463">
        <f t="shared" si="8"/>
        <v>142454</v>
      </c>
      <c r="I49" s="444">
        <f t="shared" si="0"/>
        <v>13647.093199999999</v>
      </c>
      <c r="J49" s="444">
        <v>12454</v>
      </c>
      <c r="L49" s="445">
        <f t="shared" si="1"/>
        <v>154908</v>
      </c>
      <c r="N49" s="445">
        <f t="shared" si="2"/>
        <v>154908</v>
      </c>
    </row>
    <row r="50" spans="1:14" ht="15" customHeight="1" x14ac:dyDescent="0.25">
      <c r="A50" s="459">
        <v>9.5</v>
      </c>
      <c r="B50" s="182"/>
      <c r="C50" s="447" t="s">
        <v>991</v>
      </c>
      <c r="D50" s="209" t="s">
        <v>974</v>
      </c>
      <c r="E50" s="458">
        <v>8</v>
      </c>
      <c r="F50" s="464">
        <v>180807</v>
      </c>
      <c r="G50" s="463">
        <f t="shared" si="8"/>
        <v>1446456</v>
      </c>
      <c r="I50" s="444">
        <f t="shared" si="0"/>
        <v>17321.310600000001</v>
      </c>
      <c r="J50" s="444">
        <v>15807</v>
      </c>
      <c r="L50" s="445">
        <f t="shared" si="1"/>
        <v>196614</v>
      </c>
      <c r="N50" s="445">
        <f t="shared" si="2"/>
        <v>1572912</v>
      </c>
    </row>
    <row r="51" spans="1:14" x14ac:dyDescent="0.25">
      <c r="A51" s="460">
        <v>10</v>
      </c>
      <c r="B51" s="465"/>
      <c r="C51" s="465" t="s">
        <v>992</v>
      </c>
      <c r="D51" s="453"/>
      <c r="E51" s="453"/>
      <c r="F51" s="465"/>
      <c r="G51" s="461">
        <f>SUM(G52:G56)</f>
        <v>1063638.2699999998</v>
      </c>
      <c r="H51" s="439"/>
      <c r="I51" s="444">
        <f t="shared" si="0"/>
        <v>0</v>
      </c>
      <c r="J51" s="444">
        <v>0</v>
      </c>
      <c r="L51" s="445">
        <f t="shared" si="1"/>
        <v>0</v>
      </c>
      <c r="N51" s="445">
        <f t="shared" si="2"/>
        <v>0</v>
      </c>
    </row>
    <row r="52" spans="1:14" x14ac:dyDescent="0.25">
      <c r="A52" s="276">
        <v>10.1</v>
      </c>
      <c r="B52" s="182"/>
      <c r="C52" s="182" t="s">
        <v>993</v>
      </c>
      <c r="D52" s="440" t="s">
        <v>80</v>
      </c>
      <c r="E52" s="456">
        <v>55</v>
      </c>
      <c r="F52" s="464">
        <v>4328.41</v>
      </c>
      <c r="G52" s="462">
        <f>+E52*F52</f>
        <v>238062.55</v>
      </c>
      <c r="I52" s="444">
        <f t="shared" si="0"/>
        <v>414.66167799999999</v>
      </c>
      <c r="J52" s="444">
        <v>378.40999999999997</v>
      </c>
      <c r="L52" s="445">
        <f t="shared" si="1"/>
        <v>4706.82</v>
      </c>
      <c r="N52" s="445">
        <f t="shared" si="2"/>
        <v>258875.09999999998</v>
      </c>
    </row>
    <row r="53" spans="1:14" x14ac:dyDescent="0.25">
      <c r="A53" s="276">
        <v>10.199999999999999</v>
      </c>
      <c r="B53" s="182"/>
      <c r="C53" s="182" t="s">
        <v>994</v>
      </c>
      <c r="D53" s="440" t="s">
        <v>995</v>
      </c>
      <c r="E53" s="456">
        <v>1</v>
      </c>
      <c r="F53" s="464">
        <v>82185</v>
      </c>
      <c r="G53" s="462">
        <f t="shared" ref="G53:G56" si="9">+E53*F53</f>
        <v>82185</v>
      </c>
      <c r="I53" s="444">
        <f t="shared" si="0"/>
        <v>7873.3229999999994</v>
      </c>
      <c r="J53" s="444">
        <v>7185</v>
      </c>
      <c r="L53" s="445">
        <f t="shared" si="1"/>
        <v>89370</v>
      </c>
      <c r="N53" s="445">
        <f t="shared" si="2"/>
        <v>89370</v>
      </c>
    </row>
    <row r="54" spans="1:14" x14ac:dyDescent="0.25">
      <c r="A54" s="276">
        <v>10.3</v>
      </c>
      <c r="B54" s="182"/>
      <c r="C54" s="182" t="s">
        <v>996</v>
      </c>
      <c r="D54" s="440" t="s">
        <v>995</v>
      </c>
      <c r="E54" s="456">
        <v>2</v>
      </c>
      <c r="F54" s="464">
        <v>49311</v>
      </c>
      <c r="G54" s="462">
        <f t="shared" si="9"/>
        <v>98622</v>
      </c>
      <c r="I54" s="444">
        <f t="shared" si="0"/>
        <v>4723.9938000000002</v>
      </c>
      <c r="J54" s="444">
        <v>4311</v>
      </c>
      <c r="L54" s="445">
        <f t="shared" si="1"/>
        <v>53622</v>
      </c>
      <c r="N54" s="445">
        <f t="shared" si="2"/>
        <v>107244</v>
      </c>
    </row>
    <row r="55" spans="1:14" ht="15" customHeight="1" x14ac:dyDescent="0.25">
      <c r="A55" s="459">
        <v>10.4</v>
      </c>
      <c r="B55" s="182"/>
      <c r="C55" s="447" t="s">
        <v>997</v>
      </c>
      <c r="D55" s="209" t="s">
        <v>998</v>
      </c>
      <c r="E55" s="456">
        <v>16</v>
      </c>
      <c r="F55" s="464">
        <v>34956.019999999997</v>
      </c>
      <c r="G55" s="462">
        <f t="shared" si="9"/>
        <v>559296.31999999995</v>
      </c>
      <c r="I55" s="444">
        <f t="shared" si="0"/>
        <v>3348.7867159999996</v>
      </c>
      <c r="J55" s="444">
        <v>3056.02</v>
      </c>
      <c r="L55" s="445">
        <f t="shared" si="1"/>
        <v>38012.039999999994</v>
      </c>
      <c r="N55" s="445">
        <f t="shared" si="2"/>
        <v>608192.6399999999</v>
      </c>
    </row>
    <row r="56" spans="1:14" x14ac:dyDescent="0.25">
      <c r="A56" s="459">
        <v>10.5</v>
      </c>
      <c r="B56" s="182" t="s">
        <v>960</v>
      </c>
      <c r="C56" s="182" t="s">
        <v>999</v>
      </c>
      <c r="D56" s="440" t="s">
        <v>944</v>
      </c>
      <c r="E56" s="456">
        <v>3</v>
      </c>
      <c r="F56" s="464">
        <v>28490.799999999999</v>
      </c>
      <c r="G56" s="462">
        <f t="shared" si="9"/>
        <v>85472.4</v>
      </c>
      <c r="I56" s="444">
        <f t="shared" si="0"/>
        <v>2729.4186399999999</v>
      </c>
      <c r="J56" s="444">
        <v>2490.7999999999997</v>
      </c>
      <c r="L56" s="445">
        <f t="shared" si="1"/>
        <v>30981.599999999999</v>
      </c>
      <c r="N56" s="445">
        <f t="shared" si="2"/>
        <v>92944.799999999988</v>
      </c>
    </row>
    <row r="57" spans="1:14" x14ac:dyDescent="0.25">
      <c r="A57" s="460">
        <v>11</v>
      </c>
      <c r="B57" s="454"/>
      <c r="C57" s="454" t="s">
        <v>1000</v>
      </c>
      <c r="D57" s="453"/>
      <c r="E57" s="466"/>
      <c r="F57" s="467"/>
      <c r="G57" s="461">
        <f>SUM(G58:G66)</f>
        <v>9784277.6620000005</v>
      </c>
      <c r="H57" s="439"/>
      <c r="I57" s="444">
        <f t="shared" si="0"/>
        <v>0</v>
      </c>
      <c r="J57" s="444">
        <v>0</v>
      </c>
      <c r="L57" s="445">
        <f t="shared" si="1"/>
        <v>0</v>
      </c>
      <c r="N57" s="445">
        <f t="shared" si="2"/>
        <v>0</v>
      </c>
    </row>
    <row r="58" spans="1:14" ht="15" customHeight="1" x14ac:dyDescent="0.25">
      <c r="A58" s="459">
        <v>11.1</v>
      </c>
      <c r="B58" s="182"/>
      <c r="C58" s="447" t="s">
        <v>1001</v>
      </c>
      <c r="D58" s="440" t="s">
        <v>974</v>
      </c>
      <c r="E58" s="456">
        <v>62</v>
      </c>
      <c r="F58" s="464">
        <v>32308.567200000001</v>
      </c>
      <c r="G58" s="462">
        <f>+E58*F58</f>
        <v>2003131.1664</v>
      </c>
      <c r="I58" s="444">
        <f t="shared" si="0"/>
        <v>3095.1607377599998</v>
      </c>
      <c r="J58" s="444">
        <v>2824.5672</v>
      </c>
      <c r="L58" s="445">
        <f t="shared" si="1"/>
        <v>35133.134400000003</v>
      </c>
      <c r="N58" s="445">
        <f t="shared" si="2"/>
        <v>2178254.3328</v>
      </c>
    </row>
    <row r="59" spans="1:14" ht="15" customHeight="1" x14ac:dyDescent="0.25">
      <c r="A59" s="459">
        <v>11.2</v>
      </c>
      <c r="B59" s="182"/>
      <c r="C59" s="447" t="s">
        <v>1002</v>
      </c>
      <c r="D59" s="209" t="s">
        <v>80</v>
      </c>
      <c r="E59" s="456">
        <v>18</v>
      </c>
      <c r="F59" s="464">
        <v>32308.567200000001</v>
      </c>
      <c r="G59" s="462">
        <f t="shared" ref="G59:G66" si="10">+E59*F59</f>
        <v>581554.20960000006</v>
      </c>
      <c r="I59" s="444">
        <f t="shared" si="0"/>
        <v>3095.1607377599998</v>
      </c>
      <c r="J59" s="444">
        <v>2824.5672</v>
      </c>
      <c r="L59" s="445">
        <f t="shared" si="1"/>
        <v>35133.134400000003</v>
      </c>
      <c r="N59" s="445">
        <f t="shared" si="2"/>
        <v>632396.4192</v>
      </c>
    </row>
    <row r="60" spans="1:14" ht="15" customHeight="1" x14ac:dyDescent="0.25">
      <c r="A60" s="459">
        <v>11.3</v>
      </c>
      <c r="B60" s="182"/>
      <c r="C60" s="447" t="s">
        <v>1003</v>
      </c>
      <c r="D60" s="209" t="s">
        <v>80</v>
      </c>
      <c r="E60" s="456">
        <v>40</v>
      </c>
      <c r="F60" s="464">
        <v>65262.560599999997</v>
      </c>
      <c r="G60" s="462">
        <f t="shared" si="10"/>
        <v>2610502.4239999996</v>
      </c>
      <c r="I60" s="444">
        <f t="shared" si="0"/>
        <v>6252.1533054799993</v>
      </c>
      <c r="J60" s="444">
        <v>5705.5605999999998</v>
      </c>
      <c r="L60" s="445">
        <f t="shared" si="1"/>
        <v>70968.121199999994</v>
      </c>
      <c r="N60" s="445">
        <f t="shared" si="2"/>
        <v>2838724.8479999998</v>
      </c>
    </row>
    <row r="61" spans="1:14" x14ac:dyDescent="0.25">
      <c r="A61" s="459">
        <v>11.4</v>
      </c>
      <c r="B61" s="182"/>
      <c r="C61" s="182" t="s">
        <v>1004</v>
      </c>
      <c r="D61" s="440" t="s">
        <v>1005</v>
      </c>
      <c r="E61" s="456">
        <v>2</v>
      </c>
      <c r="F61" s="464">
        <v>21367.004199999999</v>
      </c>
      <c r="G61" s="462">
        <f t="shared" si="10"/>
        <v>42734.008399999999</v>
      </c>
      <c r="I61" s="444">
        <f t="shared" si="0"/>
        <v>2046.9590023599999</v>
      </c>
      <c r="J61" s="444">
        <v>1868.0041999999999</v>
      </c>
      <c r="L61" s="445">
        <f t="shared" si="1"/>
        <v>23235.008399999999</v>
      </c>
      <c r="N61" s="445">
        <f t="shared" si="2"/>
        <v>46470.016799999998</v>
      </c>
    </row>
    <row r="62" spans="1:14" x14ac:dyDescent="0.25">
      <c r="A62" s="459">
        <v>11.5</v>
      </c>
      <c r="B62" s="182"/>
      <c r="C62" s="182" t="s">
        <v>1006</v>
      </c>
      <c r="D62" s="440" t="s">
        <v>1005</v>
      </c>
      <c r="E62" s="456">
        <v>3</v>
      </c>
      <c r="F62" s="464">
        <v>49081.977800000001</v>
      </c>
      <c r="G62" s="462">
        <f t="shared" si="10"/>
        <v>147245.93340000001</v>
      </c>
      <c r="I62" s="444">
        <f t="shared" si="0"/>
        <v>4702.0534732400001</v>
      </c>
      <c r="J62" s="444">
        <v>4290.9777999999997</v>
      </c>
      <c r="L62" s="445">
        <f t="shared" si="1"/>
        <v>53372.955600000001</v>
      </c>
      <c r="N62" s="445">
        <f t="shared" si="2"/>
        <v>160118.86680000002</v>
      </c>
    </row>
    <row r="63" spans="1:14" ht="15" customHeight="1" x14ac:dyDescent="0.25">
      <c r="A63" s="459">
        <v>11.6</v>
      </c>
      <c r="B63" s="182"/>
      <c r="C63" s="447" t="s">
        <v>1007</v>
      </c>
      <c r="D63" s="440" t="s">
        <v>995</v>
      </c>
      <c r="E63" s="456">
        <v>6</v>
      </c>
      <c r="F63" s="464">
        <v>454757</v>
      </c>
      <c r="G63" s="462">
        <f t="shared" si="10"/>
        <v>2728542</v>
      </c>
      <c r="I63" s="444">
        <f t="shared" si="0"/>
        <v>43565.720600000001</v>
      </c>
      <c r="J63" s="444">
        <v>39757</v>
      </c>
      <c r="L63" s="445">
        <f t="shared" si="1"/>
        <v>494514</v>
      </c>
      <c r="N63" s="445">
        <f t="shared" si="2"/>
        <v>2967084</v>
      </c>
    </row>
    <row r="64" spans="1:14" x14ac:dyDescent="0.25">
      <c r="A64" s="459">
        <v>11.7</v>
      </c>
      <c r="B64" s="182" t="s">
        <v>960</v>
      </c>
      <c r="C64" s="182" t="s">
        <v>1008</v>
      </c>
      <c r="D64" s="440" t="s">
        <v>80</v>
      </c>
      <c r="E64" s="456">
        <v>3.6</v>
      </c>
      <c r="F64" s="464">
        <v>196745.41099999999</v>
      </c>
      <c r="G64" s="462">
        <f t="shared" si="10"/>
        <v>708283.47959999996</v>
      </c>
      <c r="I64" s="444">
        <f t="shared" si="0"/>
        <v>18848.210373799997</v>
      </c>
      <c r="J64" s="444">
        <v>17200.411</v>
      </c>
      <c r="L64" s="445">
        <f t="shared" si="1"/>
        <v>213945.82199999999</v>
      </c>
      <c r="N64" s="445">
        <f t="shared" si="2"/>
        <v>770204.95919999992</v>
      </c>
    </row>
    <row r="65" spans="1:14" ht="15" customHeight="1" x14ac:dyDescent="0.25">
      <c r="A65" s="459">
        <v>11.8</v>
      </c>
      <c r="B65" s="182"/>
      <c r="C65" s="447" t="s">
        <v>1009</v>
      </c>
      <c r="D65" s="440" t="s">
        <v>1010</v>
      </c>
      <c r="E65" s="456">
        <v>11</v>
      </c>
      <c r="F65" s="464">
        <v>60708.415800000002</v>
      </c>
      <c r="G65" s="462">
        <f t="shared" si="10"/>
        <v>667792.57380000001</v>
      </c>
      <c r="I65" s="444">
        <f t="shared" si="0"/>
        <v>5815.8662336400002</v>
      </c>
      <c r="J65" s="444">
        <v>5307.4157999999998</v>
      </c>
      <c r="L65" s="445">
        <f t="shared" si="1"/>
        <v>66015.831600000005</v>
      </c>
      <c r="N65" s="445">
        <f t="shared" si="2"/>
        <v>726174.14760000003</v>
      </c>
    </row>
    <row r="66" spans="1:14" x14ac:dyDescent="0.25">
      <c r="A66" s="459">
        <v>11.9</v>
      </c>
      <c r="B66" s="182"/>
      <c r="C66" s="182" t="s">
        <v>1011</v>
      </c>
      <c r="D66" s="440" t="s">
        <v>1010</v>
      </c>
      <c r="E66" s="456">
        <v>6</v>
      </c>
      <c r="F66" s="464">
        <v>49081.977800000001</v>
      </c>
      <c r="G66" s="462">
        <f t="shared" si="10"/>
        <v>294491.86680000002</v>
      </c>
      <c r="I66" s="444">
        <f t="shared" si="0"/>
        <v>4702.0534732400001</v>
      </c>
      <c r="J66" s="444">
        <v>4290.9777999999997</v>
      </c>
      <c r="L66" s="445">
        <f t="shared" si="1"/>
        <v>53372.955600000001</v>
      </c>
      <c r="N66" s="445">
        <f t="shared" si="2"/>
        <v>320237.73360000004</v>
      </c>
    </row>
    <row r="67" spans="1:14" x14ac:dyDescent="0.25">
      <c r="A67" s="460">
        <v>12</v>
      </c>
      <c r="B67" s="454"/>
      <c r="C67" s="454" t="s">
        <v>1012</v>
      </c>
      <c r="D67" s="453"/>
      <c r="E67" s="466"/>
      <c r="F67" s="467"/>
      <c r="G67" s="461">
        <f>SUM(G68:G104)</f>
        <v>40337655.978400007</v>
      </c>
      <c r="H67" s="439"/>
      <c r="I67" s="444">
        <f t="shared" si="0"/>
        <v>0</v>
      </c>
      <c r="J67" s="444">
        <v>0</v>
      </c>
      <c r="L67" s="445">
        <f t="shared" si="1"/>
        <v>0</v>
      </c>
      <c r="N67" s="445">
        <f t="shared" si="2"/>
        <v>0</v>
      </c>
    </row>
    <row r="68" spans="1:14" ht="15" customHeight="1" x14ac:dyDescent="0.25">
      <c r="A68" s="459">
        <v>12.1</v>
      </c>
      <c r="B68" s="182"/>
      <c r="C68" s="447" t="s">
        <v>1013</v>
      </c>
      <c r="D68" s="209" t="s">
        <v>518</v>
      </c>
      <c r="E68" s="458">
        <v>1</v>
      </c>
      <c r="F68" s="464">
        <v>712270</v>
      </c>
      <c r="G68" s="463">
        <f>+E68*F68</f>
        <v>712270</v>
      </c>
      <c r="I68" s="444">
        <f t="shared" si="0"/>
        <v>68235.466</v>
      </c>
      <c r="J68" s="444">
        <v>62270</v>
      </c>
      <c r="L68" s="445">
        <f t="shared" si="1"/>
        <v>774540</v>
      </c>
      <c r="N68" s="445">
        <f t="shared" si="2"/>
        <v>774540</v>
      </c>
    </row>
    <row r="69" spans="1:14" ht="15" customHeight="1" x14ac:dyDescent="0.25">
      <c r="A69" s="459">
        <v>12.2</v>
      </c>
      <c r="B69" s="182"/>
      <c r="C69" s="447" t="s">
        <v>1014</v>
      </c>
      <c r="D69" s="440" t="s">
        <v>518</v>
      </c>
      <c r="E69" s="458">
        <v>1</v>
      </c>
      <c r="F69" s="464">
        <v>493110</v>
      </c>
      <c r="G69" s="463">
        <f t="shared" ref="G69:G87" si="11">+E69*F69</f>
        <v>493110</v>
      </c>
      <c r="I69" s="444">
        <f t="shared" si="0"/>
        <v>47239.937999999995</v>
      </c>
      <c r="J69" s="444">
        <v>43110</v>
      </c>
      <c r="L69" s="445">
        <f t="shared" si="1"/>
        <v>536220</v>
      </c>
      <c r="N69" s="445">
        <f t="shared" si="2"/>
        <v>536220</v>
      </c>
    </row>
    <row r="70" spans="1:14" ht="15" customHeight="1" x14ac:dyDescent="0.25">
      <c r="A70" s="459">
        <v>12.3</v>
      </c>
      <c r="B70" s="182"/>
      <c r="C70" s="447" t="s">
        <v>1015</v>
      </c>
      <c r="D70" s="440" t="s">
        <v>518</v>
      </c>
      <c r="E70" s="458">
        <v>1</v>
      </c>
      <c r="F70" s="464">
        <v>383530</v>
      </c>
      <c r="G70" s="463">
        <f t="shared" si="11"/>
        <v>383530</v>
      </c>
      <c r="I70" s="444">
        <f t="shared" si="0"/>
        <v>36742.173999999999</v>
      </c>
      <c r="J70" s="444">
        <v>33530</v>
      </c>
      <c r="L70" s="445">
        <f t="shared" si="1"/>
        <v>417060</v>
      </c>
      <c r="N70" s="445">
        <f t="shared" si="2"/>
        <v>417060</v>
      </c>
    </row>
    <row r="71" spans="1:14" x14ac:dyDescent="0.25">
      <c r="A71" s="459">
        <v>12.4</v>
      </c>
      <c r="B71" s="182"/>
      <c r="C71" s="182" t="s">
        <v>1016</v>
      </c>
      <c r="D71" s="440" t="s">
        <v>974</v>
      </c>
      <c r="E71" s="458">
        <v>45</v>
      </c>
      <c r="F71" s="464">
        <v>31668.62</v>
      </c>
      <c r="G71" s="463">
        <f t="shared" si="11"/>
        <v>1425087.9</v>
      </c>
      <c r="I71" s="444">
        <f t="shared" si="0"/>
        <v>3033.8537959999999</v>
      </c>
      <c r="J71" s="444">
        <v>2768.62</v>
      </c>
      <c r="L71" s="445">
        <f t="shared" si="1"/>
        <v>34437.24</v>
      </c>
      <c r="N71" s="445">
        <f t="shared" si="2"/>
        <v>1549675.7999999998</v>
      </c>
    </row>
    <row r="72" spans="1:14" x14ac:dyDescent="0.25">
      <c r="A72" s="459">
        <v>12.5</v>
      </c>
      <c r="B72" s="182"/>
      <c r="C72" s="182" t="s">
        <v>1017</v>
      </c>
      <c r="D72" s="440" t="s">
        <v>974</v>
      </c>
      <c r="E72" s="458">
        <v>50</v>
      </c>
      <c r="F72" s="464">
        <v>26080.04</v>
      </c>
      <c r="G72" s="463">
        <f t="shared" si="11"/>
        <v>1304002</v>
      </c>
      <c r="I72" s="444">
        <f t="shared" ref="I72:I130" si="12">+F72*$I$3</f>
        <v>2498.4678319999998</v>
      </c>
      <c r="J72" s="444">
        <v>2280.04</v>
      </c>
      <c r="L72" s="445">
        <f t="shared" ref="L72:L130" si="13">+J72+F72</f>
        <v>28360.080000000002</v>
      </c>
      <c r="N72" s="445">
        <f t="shared" ref="N72:N130" si="14">+E72*L72</f>
        <v>1418004</v>
      </c>
    </row>
    <row r="73" spans="1:14" ht="33.75" customHeight="1" x14ac:dyDescent="0.25">
      <c r="A73" s="468">
        <v>12.6</v>
      </c>
      <c r="B73" s="182"/>
      <c r="C73" s="447" t="s">
        <v>1018</v>
      </c>
      <c r="D73" s="182" t="s">
        <v>1019</v>
      </c>
      <c r="E73" s="458">
        <v>20</v>
      </c>
      <c r="F73" s="464">
        <v>147933</v>
      </c>
      <c r="G73" s="463">
        <f t="shared" si="11"/>
        <v>2958660</v>
      </c>
      <c r="I73" s="444">
        <f t="shared" si="12"/>
        <v>14171.981399999999</v>
      </c>
      <c r="J73" s="444">
        <v>12933</v>
      </c>
      <c r="L73" s="445">
        <f t="shared" si="13"/>
        <v>160866</v>
      </c>
      <c r="N73" s="445">
        <f t="shared" si="14"/>
        <v>3217320</v>
      </c>
    </row>
    <row r="74" spans="1:14" ht="31.5" customHeight="1" x14ac:dyDescent="0.25">
      <c r="A74" s="459">
        <v>12.7</v>
      </c>
      <c r="B74" s="182"/>
      <c r="C74" s="447" t="s">
        <v>1020</v>
      </c>
      <c r="D74" s="440" t="s">
        <v>1019</v>
      </c>
      <c r="E74" s="458">
        <v>16</v>
      </c>
      <c r="F74" s="464">
        <v>105196.8</v>
      </c>
      <c r="G74" s="463">
        <f t="shared" si="11"/>
        <v>1683148.8</v>
      </c>
      <c r="I74" s="444">
        <f t="shared" si="12"/>
        <v>10077.853440000001</v>
      </c>
      <c r="J74" s="444">
        <v>9196.7999999999993</v>
      </c>
      <c r="L74" s="445">
        <f t="shared" si="13"/>
        <v>114393.60000000001</v>
      </c>
      <c r="N74" s="445">
        <f t="shared" si="14"/>
        <v>1830297.6000000001</v>
      </c>
    </row>
    <row r="75" spans="1:14" ht="15" customHeight="1" x14ac:dyDescent="0.25">
      <c r="A75" s="459">
        <v>12.8</v>
      </c>
      <c r="B75" s="182"/>
      <c r="C75" s="447" t="s">
        <v>1021</v>
      </c>
      <c r="D75" s="440" t="s">
        <v>1019</v>
      </c>
      <c r="E75" s="458">
        <v>3</v>
      </c>
      <c r="F75" s="464">
        <v>113963.2</v>
      </c>
      <c r="G75" s="463">
        <f t="shared" si="11"/>
        <v>341889.6</v>
      </c>
      <c r="I75" s="444">
        <f t="shared" si="12"/>
        <v>10917.674559999999</v>
      </c>
      <c r="J75" s="444">
        <v>9963.1999999999989</v>
      </c>
      <c r="L75" s="445">
        <f t="shared" si="13"/>
        <v>123926.39999999999</v>
      </c>
      <c r="N75" s="445">
        <f t="shared" si="14"/>
        <v>371779.19999999995</v>
      </c>
    </row>
    <row r="76" spans="1:14" x14ac:dyDescent="0.25">
      <c r="A76" s="459">
        <v>12.9</v>
      </c>
      <c r="B76" s="182"/>
      <c r="C76" s="182" t="s">
        <v>1022</v>
      </c>
      <c r="D76" s="440" t="s">
        <v>1019</v>
      </c>
      <c r="E76" s="458">
        <v>3</v>
      </c>
      <c r="F76" s="464">
        <v>50406.8</v>
      </c>
      <c r="G76" s="463">
        <f t="shared" si="11"/>
        <v>151220.40000000002</v>
      </c>
      <c r="I76" s="444">
        <f t="shared" si="12"/>
        <v>4828.9714400000003</v>
      </c>
      <c r="J76" s="444">
        <v>4406.8</v>
      </c>
      <c r="L76" s="445">
        <f t="shared" si="13"/>
        <v>54813.600000000006</v>
      </c>
      <c r="N76" s="445">
        <f t="shared" si="14"/>
        <v>164440.80000000002</v>
      </c>
    </row>
    <row r="77" spans="1:14" x14ac:dyDescent="0.25">
      <c r="A77" s="469">
        <v>12.1</v>
      </c>
      <c r="B77" s="182"/>
      <c r="C77" s="182" t="s">
        <v>1023</v>
      </c>
      <c r="D77" s="440" t="s">
        <v>1019</v>
      </c>
      <c r="E77" s="458">
        <v>3</v>
      </c>
      <c r="F77" s="464">
        <v>52598.400000000001</v>
      </c>
      <c r="G77" s="463">
        <f t="shared" si="11"/>
        <v>157795.20000000001</v>
      </c>
      <c r="I77" s="444">
        <f t="shared" si="12"/>
        <v>5038.9267200000004</v>
      </c>
      <c r="J77" s="444">
        <v>4598.3999999999996</v>
      </c>
      <c r="L77" s="445">
        <f t="shared" si="13"/>
        <v>57196.800000000003</v>
      </c>
      <c r="N77" s="445">
        <f t="shared" si="14"/>
        <v>171590.40000000002</v>
      </c>
    </row>
    <row r="78" spans="1:14" x14ac:dyDescent="0.25">
      <c r="A78" s="459">
        <v>12.11</v>
      </c>
      <c r="B78" s="182"/>
      <c r="C78" s="182" t="s">
        <v>1024</v>
      </c>
      <c r="D78" s="440" t="s">
        <v>1019</v>
      </c>
      <c r="E78" s="458">
        <v>4</v>
      </c>
      <c r="F78" s="464">
        <v>56981.599999999999</v>
      </c>
      <c r="G78" s="463">
        <f t="shared" si="11"/>
        <v>227926.39999999999</v>
      </c>
      <c r="I78" s="444">
        <f t="shared" si="12"/>
        <v>5458.8372799999997</v>
      </c>
      <c r="J78" s="444">
        <v>4981.5999999999995</v>
      </c>
      <c r="L78" s="445">
        <f t="shared" si="13"/>
        <v>61963.199999999997</v>
      </c>
      <c r="N78" s="445">
        <f t="shared" si="14"/>
        <v>247852.79999999999</v>
      </c>
    </row>
    <row r="79" spans="1:14" x14ac:dyDescent="0.25">
      <c r="A79" s="459">
        <v>12.12</v>
      </c>
      <c r="B79" s="182"/>
      <c r="C79" s="182" t="s">
        <v>1025</v>
      </c>
      <c r="D79" s="440" t="s">
        <v>1019</v>
      </c>
      <c r="E79" s="458">
        <v>6</v>
      </c>
      <c r="F79" s="464">
        <v>105963.86</v>
      </c>
      <c r="G79" s="463">
        <f t="shared" si="11"/>
        <v>635783.16</v>
      </c>
      <c r="I79" s="444">
        <f t="shared" si="12"/>
        <v>10151.337787999999</v>
      </c>
      <c r="J79" s="444">
        <v>9263.8599999999988</v>
      </c>
      <c r="L79" s="445">
        <f t="shared" si="13"/>
        <v>115227.72</v>
      </c>
      <c r="N79" s="445">
        <f t="shared" si="14"/>
        <v>691366.32000000007</v>
      </c>
    </row>
    <row r="80" spans="1:14" x14ac:dyDescent="0.25">
      <c r="A80" s="459">
        <v>12.13</v>
      </c>
      <c r="B80" s="182"/>
      <c r="C80" s="182" t="s">
        <v>1026</v>
      </c>
      <c r="D80" s="440" t="s">
        <v>1019</v>
      </c>
      <c r="E80" s="458">
        <v>2</v>
      </c>
      <c r="F80" s="464">
        <v>115059</v>
      </c>
      <c r="G80" s="463">
        <f t="shared" si="11"/>
        <v>230118</v>
      </c>
      <c r="I80" s="444">
        <f t="shared" si="12"/>
        <v>11022.6522</v>
      </c>
      <c r="J80" s="444">
        <v>10059</v>
      </c>
      <c r="L80" s="445">
        <f t="shared" si="13"/>
        <v>125118</v>
      </c>
      <c r="N80" s="445">
        <f t="shared" si="14"/>
        <v>250236</v>
      </c>
    </row>
    <row r="81" spans="1:14" x14ac:dyDescent="0.25">
      <c r="A81" s="459">
        <v>12.14</v>
      </c>
      <c r="B81" s="182"/>
      <c r="C81" s="182" t="s">
        <v>1027</v>
      </c>
      <c r="D81" s="440" t="s">
        <v>1019</v>
      </c>
      <c r="E81" s="458">
        <v>2</v>
      </c>
      <c r="F81" s="464">
        <v>118346.4</v>
      </c>
      <c r="G81" s="463">
        <f t="shared" si="11"/>
        <v>236692.8</v>
      </c>
      <c r="I81" s="444">
        <f t="shared" si="12"/>
        <v>11337.58512</v>
      </c>
      <c r="J81" s="444">
        <v>10346.4</v>
      </c>
      <c r="L81" s="445">
        <f t="shared" si="13"/>
        <v>128692.79999999999</v>
      </c>
      <c r="N81" s="445">
        <f t="shared" si="14"/>
        <v>257385.59999999998</v>
      </c>
    </row>
    <row r="82" spans="1:14" x14ac:dyDescent="0.25">
      <c r="A82" s="459">
        <v>12.15</v>
      </c>
      <c r="B82" s="182"/>
      <c r="C82" s="182" t="s">
        <v>1028</v>
      </c>
      <c r="D82" s="440" t="s">
        <v>990</v>
      </c>
      <c r="E82" s="458">
        <v>8</v>
      </c>
      <c r="F82" s="464">
        <v>39448.800000000003</v>
      </c>
      <c r="G82" s="463">
        <f t="shared" si="11"/>
        <v>315590.40000000002</v>
      </c>
      <c r="I82" s="444">
        <f t="shared" si="12"/>
        <v>3779.1950400000001</v>
      </c>
      <c r="J82" s="444">
        <v>3448.7999999999997</v>
      </c>
      <c r="L82" s="445">
        <f t="shared" si="13"/>
        <v>42897.600000000006</v>
      </c>
      <c r="N82" s="445">
        <f t="shared" si="14"/>
        <v>343180.80000000005</v>
      </c>
    </row>
    <row r="83" spans="1:14" x14ac:dyDescent="0.25">
      <c r="A83" s="459">
        <v>12.16</v>
      </c>
      <c r="B83" s="182"/>
      <c r="C83" s="182" t="s">
        <v>1029</v>
      </c>
      <c r="D83" s="440" t="s">
        <v>990</v>
      </c>
      <c r="E83" s="458">
        <v>6</v>
      </c>
      <c r="F83" s="464">
        <v>49311</v>
      </c>
      <c r="G83" s="463">
        <f t="shared" si="11"/>
        <v>295866</v>
      </c>
      <c r="I83" s="444">
        <f t="shared" si="12"/>
        <v>4723.9938000000002</v>
      </c>
      <c r="J83" s="444">
        <v>4311</v>
      </c>
      <c r="L83" s="445">
        <f t="shared" si="13"/>
        <v>53622</v>
      </c>
      <c r="N83" s="445">
        <f t="shared" si="14"/>
        <v>321732</v>
      </c>
    </row>
    <row r="84" spans="1:14" x14ac:dyDescent="0.25">
      <c r="A84" s="209">
        <v>12.17</v>
      </c>
      <c r="B84" s="182"/>
      <c r="C84" s="182" t="s">
        <v>1030</v>
      </c>
      <c r="D84" s="440" t="s">
        <v>990</v>
      </c>
      <c r="E84" s="458">
        <v>2</v>
      </c>
      <c r="F84" s="464">
        <v>147933</v>
      </c>
      <c r="G84" s="463">
        <f t="shared" si="11"/>
        <v>295866</v>
      </c>
      <c r="I84" s="444">
        <f t="shared" si="12"/>
        <v>14171.981399999999</v>
      </c>
      <c r="J84" s="444">
        <v>12933</v>
      </c>
      <c r="L84" s="445">
        <f t="shared" si="13"/>
        <v>160866</v>
      </c>
      <c r="N84" s="445">
        <f t="shared" si="14"/>
        <v>321732</v>
      </c>
    </row>
    <row r="85" spans="1:14" x14ac:dyDescent="0.25">
      <c r="A85" s="470">
        <v>12.18</v>
      </c>
      <c r="B85" s="471"/>
      <c r="C85" s="472" t="s">
        <v>1031</v>
      </c>
      <c r="D85" s="470" t="s">
        <v>990</v>
      </c>
      <c r="E85" s="473">
        <v>2</v>
      </c>
      <c r="F85" s="474">
        <v>65748</v>
      </c>
      <c r="G85" s="463">
        <f t="shared" si="11"/>
        <v>131496</v>
      </c>
      <c r="I85" s="444">
        <f t="shared" si="12"/>
        <v>6298.6583999999993</v>
      </c>
      <c r="J85" s="444">
        <v>5748</v>
      </c>
      <c r="L85" s="445">
        <f t="shared" si="13"/>
        <v>71496</v>
      </c>
      <c r="N85" s="445">
        <f t="shared" si="14"/>
        <v>142992</v>
      </c>
    </row>
    <row r="86" spans="1:14" x14ac:dyDescent="0.25">
      <c r="A86" s="209">
        <v>12.19</v>
      </c>
      <c r="B86" s="440"/>
      <c r="C86" s="182" t="s">
        <v>1032</v>
      </c>
      <c r="D86" s="209" t="s">
        <v>990</v>
      </c>
      <c r="E86" s="458">
        <v>20</v>
      </c>
      <c r="F86" s="464">
        <v>673917</v>
      </c>
      <c r="G86" s="463">
        <f t="shared" si="11"/>
        <v>13478340</v>
      </c>
      <c r="I86" s="444">
        <f t="shared" si="12"/>
        <v>64561.248599999999</v>
      </c>
      <c r="J86" s="444">
        <v>58917</v>
      </c>
      <c r="L86" s="445">
        <f t="shared" si="13"/>
        <v>732834</v>
      </c>
      <c r="N86" s="445">
        <f t="shared" si="14"/>
        <v>14656680</v>
      </c>
    </row>
    <row r="87" spans="1:14" ht="15" customHeight="1" x14ac:dyDescent="0.25">
      <c r="A87" s="458">
        <v>12.2</v>
      </c>
      <c r="B87" s="182" t="s">
        <v>960</v>
      </c>
      <c r="C87" s="447" t="s">
        <v>1033</v>
      </c>
      <c r="D87" s="209" t="s">
        <v>990</v>
      </c>
      <c r="E87" s="458">
        <v>3</v>
      </c>
      <c r="F87" s="464">
        <v>197244</v>
      </c>
      <c r="G87" s="463">
        <f t="shared" si="11"/>
        <v>591732</v>
      </c>
      <c r="I87" s="444">
        <f t="shared" si="12"/>
        <v>18895.975200000001</v>
      </c>
      <c r="J87" s="444">
        <v>17244</v>
      </c>
      <c r="L87" s="445">
        <f t="shared" si="13"/>
        <v>214488</v>
      </c>
      <c r="N87" s="445">
        <f t="shared" si="14"/>
        <v>643464</v>
      </c>
    </row>
    <row r="88" spans="1:14" x14ac:dyDescent="0.25">
      <c r="A88" s="475"/>
      <c r="B88" s="437"/>
      <c r="C88" s="435"/>
      <c r="D88" s="475"/>
      <c r="E88" s="476"/>
      <c r="F88" s="477"/>
      <c r="G88" s="478"/>
      <c r="I88" s="444">
        <f t="shared" si="12"/>
        <v>0</v>
      </c>
      <c r="J88" s="444">
        <v>0</v>
      </c>
      <c r="L88" s="445">
        <f t="shared" si="13"/>
        <v>0</v>
      </c>
      <c r="N88" s="445">
        <f t="shared" si="14"/>
        <v>0</v>
      </c>
    </row>
    <row r="89" spans="1:14" x14ac:dyDescent="0.25">
      <c r="A89" s="209">
        <v>12.21</v>
      </c>
      <c r="B89" s="440" t="s">
        <v>960</v>
      </c>
      <c r="C89" s="182" t="s">
        <v>1034</v>
      </c>
      <c r="D89" s="209" t="s">
        <v>1019</v>
      </c>
      <c r="E89" s="458">
        <v>6</v>
      </c>
      <c r="F89" s="464">
        <v>147933</v>
      </c>
      <c r="G89" s="479">
        <f>+E89*F89</f>
        <v>887598</v>
      </c>
      <c r="I89" s="444">
        <f t="shared" si="12"/>
        <v>14171.981399999999</v>
      </c>
      <c r="J89" s="444">
        <v>12933</v>
      </c>
      <c r="L89" s="445">
        <f t="shared" si="13"/>
        <v>160866</v>
      </c>
      <c r="N89" s="445">
        <f t="shared" si="14"/>
        <v>965196</v>
      </c>
    </row>
    <row r="90" spans="1:14" x14ac:dyDescent="0.25">
      <c r="A90" s="209">
        <v>12.22</v>
      </c>
      <c r="B90" s="440" t="s">
        <v>960</v>
      </c>
      <c r="C90" s="182" t="s">
        <v>1035</v>
      </c>
      <c r="D90" s="209" t="s">
        <v>1019</v>
      </c>
      <c r="E90" s="458">
        <v>4</v>
      </c>
      <c r="F90" s="464">
        <v>107388.4</v>
      </c>
      <c r="G90" s="479">
        <f t="shared" ref="G90:G104" si="15">+E90*F90</f>
        <v>429553.6</v>
      </c>
      <c r="I90" s="444">
        <f t="shared" si="12"/>
        <v>10287.808719999999</v>
      </c>
      <c r="J90" s="444">
        <v>9388.4</v>
      </c>
      <c r="L90" s="445">
        <f t="shared" si="13"/>
        <v>116776.79999999999</v>
      </c>
      <c r="N90" s="445">
        <f t="shared" si="14"/>
        <v>467107.19999999995</v>
      </c>
    </row>
    <row r="91" spans="1:14" ht="15" customHeight="1" x14ac:dyDescent="0.25">
      <c r="A91" s="209">
        <v>12.23</v>
      </c>
      <c r="B91" s="182"/>
      <c r="C91" s="447" t="s">
        <v>1036</v>
      </c>
      <c r="D91" s="209" t="s">
        <v>518</v>
      </c>
      <c r="E91" s="458">
        <v>1</v>
      </c>
      <c r="F91" s="464">
        <v>609100.43000000005</v>
      </c>
      <c r="G91" s="479">
        <f t="shared" si="15"/>
        <v>609100.43000000005</v>
      </c>
      <c r="I91" s="444">
        <f t="shared" si="12"/>
        <v>58351.821194000004</v>
      </c>
      <c r="J91" s="444">
        <v>53250.43</v>
      </c>
      <c r="L91" s="445">
        <f t="shared" si="13"/>
        <v>662350.8600000001</v>
      </c>
      <c r="N91" s="445">
        <f t="shared" si="14"/>
        <v>662350.8600000001</v>
      </c>
    </row>
    <row r="92" spans="1:14" ht="15" customHeight="1" x14ac:dyDescent="0.25">
      <c r="A92" s="209">
        <v>12.23</v>
      </c>
      <c r="B92" s="182"/>
      <c r="C92" s="480" t="s">
        <v>1037</v>
      </c>
      <c r="D92" s="209"/>
      <c r="E92" s="458"/>
      <c r="F92" s="464">
        <v>0</v>
      </c>
      <c r="G92" s="479">
        <f t="shared" si="15"/>
        <v>0</v>
      </c>
      <c r="I92" s="444">
        <f t="shared" si="12"/>
        <v>0</v>
      </c>
      <c r="J92" s="444">
        <v>0</v>
      </c>
      <c r="L92" s="445">
        <f t="shared" si="13"/>
        <v>0</v>
      </c>
      <c r="N92" s="445">
        <f t="shared" si="14"/>
        <v>0</v>
      </c>
    </row>
    <row r="93" spans="1:14" x14ac:dyDescent="0.25">
      <c r="A93" s="209" t="s">
        <v>1038</v>
      </c>
      <c r="B93" s="182"/>
      <c r="C93" s="182" t="s">
        <v>1039</v>
      </c>
      <c r="D93" s="209" t="s">
        <v>1005</v>
      </c>
      <c r="E93" s="458">
        <v>7</v>
      </c>
      <c r="F93" s="464">
        <v>117970.54060000001</v>
      </c>
      <c r="G93" s="479">
        <f t="shared" si="15"/>
        <v>825793.78420000011</v>
      </c>
      <c r="I93" s="444">
        <f t="shared" si="12"/>
        <v>11301.577789479999</v>
      </c>
      <c r="J93" s="444">
        <v>10313.5406</v>
      </c>
      <c r="L93" s="445">
        <f t="shared" si="13"/>
        <v>128284.08120000002</v>
      </c>
      <c r="N93" s="445">
        <f t="shared" si="14"/>
        <v>897988.56840000011</v>
      </c>
    </row>
    <row r="94" spans="1:14" x14ac:dyDescent="0.25">
      <c r="A94" s="209"/>
      <c r="B94" s="182"/>
      <c r="C94" s="182" t="s">
        <v>1040</v>
      </c>
      <c r="D94" s="209"/>
      <c r="E94" s="458"/>
      <c r="F94" s="464">
        <v>0</v>
      </c>
      <c r="G94" s="479">
        <f t="shared" si="15"/>
        <v>0</v>
      </c>
      <c r="I94" s="444">
        <f t="shared" si="12"/>
        <v>0</v>
      </c>
      <c r="J94" s="444">
        <v>0</v>
      </c>
      <c r="L94" s="445">
        <f t="shared" si="13"/>
        <v>0</v>
      </c>
      <c r="N94" s="445">
        <f t="shared" si="14"/>
        <v>0</v>
      </c>
    </row>
    <row r="95" spans="1:14" x14ac:dyDescent="0.25">
      <c r="A95" s="209" t="s">
        <v>1041</v>
      </c>
      <c r="B95" s="440"/>
      <c r="C95" s="182" t="s">
        <v>1042</v>
      </c>
      <c r="D95" s="209" t="s">
        <v>1005</v>
      </c>
      <c r="E95" s="458">
        <v>7</v>
      </c>
      <c r="F95" s="464">
        <v>75234.340599999996</v>
      </c>
      <c r="G95" s="479">
        <f t="shared" si="15"/>
        <v>526640.38419999997</v>
      </c>
      <c r="I95" s="444">
        <f t="shared" si="12"/>
        <v>7207.4498294799996</v>
      </c>
      <c r="J95" s="444">
        <v>6577.3405999999995</v>
      </c>
      <c r="L95" s="445">
        <f t="shared" si="13"/>
        <v>81811.681199999992</v>
      </c>
      <c r="N95" s="445">
        <f t="shared" si="14"/>
        <v>572681.76839999994</v>
      </c>
    </row>
    <row r="96" spans="1:14" x14ac:dyDescent="0.25">
      <c r="A96" s="209" t="s">
        <v>1043</v>
      </c>
      <c r="B96" s="440"/>
      <c r="C96" s="182" t="s">
        <v>1044</v>
      </c>
      <c r="D96" s="209" t="s">
        <v>1005</v>
      </c>
      <c r="E96" s="458">
        <v>234</v>
      </c>
      <c r="F96" s="464">
        <v>5698.16</v>
      </c>
      <c r="G96" s="479">
        <f t="shared" si="15"/>
        <v>1333369.44</v>
      </c>
      <c r="I96" s="444">
        <f t="shared" si="12"/>
        <v>545.88372800000002</v>
      </c>
      <c r="J96" s="444">
        <v>498.15999999999997</v>
      </c>
      <c r="L96" s="445">
        <f t="shared" si="13"/>
        <v>6196.32</v>
      </c>
      <c r="N96" s="445">
        <f t="shared" si="14"/>
        <v>1449938.88</v>
      </c>
    </row>
    <row r="97" spans="1:14" x14ac:dyDescent="0.25">
      <c r="A97" s="209" t="s">
        <v>1045</v>
      </c>
      <c r="B97" s="182"/>
      <c r="C97" s="447" t="s">
        <v>1046</v>
      </c>
      <c r="D97" s="209" t="s">
        <v>1047</v>
      </c>
      <c r="E97" s="458">
        <v>180</v>
      </c>
      <c r="F97" s="464">
        <v>7122.7</v>
      </c>
      <c r="G97" s="479">
        <f t="shared" si="15"/>
        <v>1282086</v>
      </c>
      <c r="I97" s="444">
        <f t="shared" si="12"/>
        <v>682.35465999999997</v>
      </c>
      <c r="J97" s="444">
        <v>622.69999999999993</v>
      </c>
      <c r="L97" s="445">
        <f t="shared" si="13"/>
        <v>7745.4</v>
      </c>
      <c r="N97" s="445">
        <f t="shared" si="14"/>
        <v>1394172</v>
      </c>
    </row>
    <row r="98" spans="1:14" x14ac:dyDescent="0.25">
      <c r="A98" s="209" t="s">
        <v>1048</v>
      </c>
      <c r="B98" s="182"/>
      <c r="C98" s="481" t="s">
        <v>1049</v>
      </c>
      <c r="D98" s="209" t="s">
        <v>80</v>
      </c>
      <c r="E98" s="458">
        <v>42</v>
      </c>
      <c r="F98" s="464">
        <v>10300.52</v>
      </c>
      <c r="G98" s="479">
        <f t="shared" si="15"/>
        <v>432621.84</v>
      </c>
      <c r="I98" s="444">
        <f t="shared" si="12"/>
        <v>986.78981599999997</v>
      </c>
      <c r="J98" s="444">
        <v>900.52</v>
      </c>
      <c r="L98" s="445">
        <f t="shared" si="13"/>
        <v>11201.04</v>
      </c>
      <c r="N98" s="445">
        <f t="shared" si="14"/>
        <v>470443.68000000005</v>
      </c>
    </row>
    <row r="99" spans="1:14" x14ac:dyDescent="0.25">
      <c r="A99" s="209" t="s">
        <v>1050</v>
      </c>
      <c r="B99" s="182"/>
      <c r="C99" s="481" t="s">
        <v>1051</v>
      </c>
      <c r="D99" s="209" t="s">
        <v>80</v>
      </c>
      <c r="E99" s="458">
        <v>20</v>
      </c>
      <c r="F99" s="464">
        <v>28490.799999999999</v>
      </c>
      <c r="G99" s="479">
        <f t="shared" si="15"/>
        <v>569816</v>
      </c>
      <c r="I99" s="444">
        <f t="shared" si="12"/>
        <v>2729.4186399999999</v>
      </c>
      <c r="J99" s="444">
        <v>2490.7999999999997</v>
      </c>
      <c r="L99" s="445">
        <f t="shared" si="13"/>
        <v>30981.599999999999</v>
      </c>
      <c r="N99" s="445">
        <f t="shared" si="14"/>
        <v>619632</v>
      </c>
    </row>
    <row r="100" spans="1:14" x14ac:dyDescent="0.25">
      <c r="A100" s="209" t="s">
        <v>1052</v>
      </c>
      <c r="B100" s="440"/>
      <c r="C100" s="481" t="s">
        <v>1053</v>
      </c>
      <c r="D100" s="209" t="s">
        <v>1005</v>
      </c>
      <c r="E100" s="458">
        <v>14</v>
      </c>
      <c r="F100" s="464">
        <v>3506.56</v>
      </c>
      <c r="G100" s="479">
        <f t="shared" si="15"/>
        <v>49091.839999999997</v>
      </c>
      <c r="I100" s="444">
        <f t="shared" si="12"/>
        <v>335.928448</v>
      </c>
      <c r="J100" s="444">
        <v>306.56</v>
      </c>
      <c r="L100" s="445">
        <f t="shared" si="13"/>
        <v>3813.12</v>
      </c>
      <c r="N100" s="445">
        <f t="shared" si="14"/>
        <v>53383.68</v>
      </c>
    </row>
    <row r="101" spans="1:14" x14ac:dyDescent="0.25">
      <c r="A101" s="209" t="s">
        <v>1054</v>
      </c>
      <c r="B101" s="440"/>
      <c r="C101" s="481" t="s">
        <v>1055</v>
      </c>
      <c r="D101" s="209" t="s">
        <v>1005</v>
      </c>
      <c r="E101" s="458">
        <v>6</v>
      </c>
      <c r="F101" s="464">
        <v>147933</v>
      </c>
      <c r="G101" s="479">
        <f t="shared" si="15"/>
        <v>887598</v>
      </c>
      <c r="I101" s="444">
        <f t="shared" si="12"/>
        <v>14171.981399999999</v>
      </c>
      <c r="J101" s="444">
        <v>12933</v>
      </c>
      <c r="L101" s="445">
        <f t="shared" si="13"/>
        <v>160866</v>
      </c>
      <c r="N101" s="445">
        <f t="shared" si="14"/>
        <v>965196</v>
      </c>
    </row>
    <row r="102" spans="1:14" x14ac:dyDescent="0.25">
      <c r="A102" s="209" t="s">
        <v>1056</v>
      </c>
      <c r="B102" s="440"/>
      <c r="C102" s="481" t="s">
        <v>1057</v>
      </c>
      <c r="D102" s="209" t="s">
        <v>1005</v>
      </c>
      <c r="E102" s="458">
        <v>6</v>
      </c>
      <c r="F102" s="464">
        <v>175328</v>
      </c>
      <c r="G102" s="479">
        <f t="shared" si="15"/>
        <v>1051968</v>
      </c>
      <c r="I102" s="444">
        <f t="shared" si="12"/>
        <v>16796.422399999999</v>
      </c>
      <c r="J102" s="444">
        <v>15328</v>
      </c>
      <c r="L102" s="445">
        <f t="shared" si="13"/>
        <v>190656</v>
      </c>
      <c r="N102" s="445">
        <f t="shared" si="14"/>
        <v>1143936</v>
      </c>
    </row>
    <row r="103" spans="1:14" x14ac:dyDescent="0.25">
      <c r="A103" s="209" t="s">
        <v>1058</v>
      </c>
      <c r="B103" s="440"/>
      <c r="C103" s="481" t="s">
        <v>1059</v>
      </c>
      <c r="D103" s="209" t="s">
        <v>1005</v>
      </c>
      <c r="E103" s="458">
        <v>6</v>
      </c>
      <c r="F103" s="464">
        <v>60269</v>
      </c>
      <c r="G103" s="479">
        <f t="shared" si="15"/>
        <v>361614</v>
      </c>
      <c r="I103" s="444">
        <f t="shared" si="12"/>
        <v>5773.7701999999999</v>
      </c>
      <c r="J103" s="444">
        <v>5269</v>
      </c>
      <c r="L103" s="445">
        <f t="shared" si="13"/>
        <v>65538</v>
      </c>
      <c r="N103" s="445">
        <f t="shared" si="14"/>
        <v>393228</v>
      </c>
    </row>
    <row r="104" spans="1:14" ht="30" x14ac:dyDescent="0.25">
      <c r="A104" s="209">
        <v>12.24</v>
      </c>
      <c r="B104" s="440" t="s">
        <v>960</v>
      </c>
      <c r="C104" s="481" t="s">
        <v>1060</v>
      </c>
      <c r="D104" s="209" t="s">
        <v>1061</v>
      </c>
      <c r="E104" s="458">
        <v>1</v>
      </c>
      <c r="F104" s="464">
        <v>5040680</v>
      </c>
      <c r="G104" s="479">
        <f t="shared" si="15"/>
        <v>5040680</v>
      </c>
      <c r="I104" s="444">
        <f t="shared" si="12"/>
        <v>482897.14399999997</v>
      </c>
      <c r="J104" s="444">
        <v>440680</v>
      </c>
      <c r="L104" s="445">
        <f t="shared" si="13"/>
        <v>5481360</v>
      </c>
      <c r="N104" s="445">
        <f t="shared" si="14"/>
        <v>5481360</v>
      </c>
    </row>
    <row r="105" spans="1:14" x14ac:dyDescent="0.25">
      <c r="A105" s="453">
        <v>13</v>
      </c>
      <c r="B105" s="453"/>
      <c r="C105" s="482" t="s">
        <v>1062</v>
      </c>
      <c r="D105" s="453"/>
      <c r="E105" s="466"/>
      <c r="F105" s="467"/>
      <c r="G105" s="455">
        <f>SUM(G106:G115)</f>
        <v>5923752.3460000008</v>
      </c>
      <c r="H105" s="439"/>
      <c r="I105" s="444">
        <f t="shared" si="12"/>
        <v>0</v>
      </c>
      <c r="J105" s="444">
        <v>0</v>
      </c>
      <c r="L105" s="445">
        <f t="shared" si="13"/>
        <v>0</v>
      </c>
      <c r="N105" s="445">
        <f t="shared" si="14"/>
        <v>0</v>
      </c>
    </row>
    <row r="106" spans="1:14" ht="30" x14ac:dyDescent="0.25">
      <c r="A106" s="209">
        <v>13.1</v>
      </c>
      <c r="B106" s="440"/>
      <c r="C106" s="481" t="s">
        <v>1063</v>
      </c>
      <c r="D106" s="209" t="s">
        <v>990</v>
      </c>
      <c r="E106" s="458">
        <v>6</v>
      </c>
      <c r="F106" s="464">
        <v>349538.28399999999</v>
      </c>
      <c r="G106" s="479">
        <f>+E106*F106</f>
        <v>2097229.7039999999</v>
      </c>
      <c r="I106" s="444">
        <f t="shared" si="12"/>
        <v>33485.767607199996</v>
      </c>
      <c r="J106" s="444">
        <v>30558.284</v>
      </c>
      <c r="L106" s="445">
        <f t="shared" si="13"/>
        <v>380096.56799999997</v>
      </c>
      <c r="N106" s="445">
        <f t="shared" si="14"/>
        <v>2280579.4079999998</v>
      </c>
    </row>
    <row r="107" spans="1:14" ht="30" x14ac:dyDescent="0.25">
      <c r="A107" s="209">
        <v>13.2</v>
      </c>
      <c r="B107" s="440"/>
      <c r="C107" s="481" t="s">
        <v>1064</v>
      </c>
      <c r="D107" s="209" t="s">
        <v>995</v>
      </c>
      <c r="E107" s="458">
        <v>6</v>
      </c>
      <c r="F107" s="464">
        <v>158891</v>
      </c>
      <c r="G107" s="479">
        <f t="shared" ref="G107:G115" si="16">+E107*F107</f>
        <v>953346</v>
      </c>
      <c r="I107" s="444">
        <f t="shared" si="12"/>
        <v>15221.757799999999</v>
      </c>
      <c r="J107" s="444">
        <v>13891</v>
      </c>
      <c r="L107" s="445">
        <f t="shared" si="13"/>
        <v>172782</v>
      </c>
      <c r="N107" s="445">
        <f t="shared" si="14"/>
        <v>1036692</v>
      </c>
    </row>
    <row r="108" spans="1:14" ht="30" x14ac:dyDescent="0.25">
      <c r="A108" s="209">
        <v>13.3</v>
      </c>
      <c r="B108" s="440"/>
      <c r="C108" s="481" t="s">
        <v>1065</v>
      </c>
      <c r="D108" s="209" t="s">
        <v>995</v>
      </c>
      <c r="E108" s="458">
        <v>2</v>
      </c>
      <c r="F108" s="464">
        <v>255976.68839999998</v>
      </c>
      <c r="G108" s="479">
        <f t="shared" si="16"/>
        <v>511953.37679999997</v>
      </c>
      <c r="I108" s="444">
        <f t="shared" si="12"/>
        <v>24522.566748719997</v>
      </c>
      <c r="J108" s="444">
        <v>22378.688399999999</v>
      </c>
      <c r="L108" s="445">
        <f t="shared" si="13"/>
        <v>278355.37679999997</v>
      </c>
      <c r="N108" s="445">
        <f t="shared" si="14"/>
        <v>556710.75359999994</v>
      </c>
    </row>
    <row r="109" spans="1:14" ht="45" x14ac:dyDescent="0.25">
      <c r="A109" s="209">
        <v>13.4</v>
      </c>
      <c r="B109" s="440"/>
      <c r="C109" s="481" t="s">
        <v>1066</v>
      </c>
      <c r="D109" s="209" t="s">
        <v>995</v>
      </c>
      <c r="E109" s="458">
        <v>2</v>
      </c>
      <c r="F109" s="464">
        <v>97380.458599999998</v>
      </c>
      <c r="G109" s="479">
        <f t="shared" si="16"/>
        <v>194760.9172</v>
      </c>
      <c r="I109" s="444">
        <f t="shared" si="12"/>
        <v>9329.0479338799996</v>
      </c>
      <c r="J109" s="444">
        <v>8513.4585999999999</v>
      </c>
      <c r="L109" s="445">
        <f t="shared" si="13"/>
        <v>105893.9172</v>
      </c>
      <c r="N109" s="445">
        <f t="shared" si="14"/>
        <v>211787.83439999999</v>
      </c>
    </row>
    <row r="110" spans="1:14" x14ac:dyDescent="0.25">
      <c r="A110" s="209">
        <v>13.5</v>
      </c>
      <c r="B110" s="440"/>
      <c r="C110" s="481" t="s">
        <v>1067</v>
      </c>
      <c r="D110" s="209" t="s">
        <v>995</v>
      </c>
      <c r="E110" s="458">
        <v>4</v>
      </c>
      <c r="F110" s="464">
        <v>36561.366999999998</v>
      </c>
      <c r="G110" s="479">
        <f t="shared" si="16"/>
        <v>146245.46799999999</v>
      </c>
      <c r="I110" s="444">
        <f t="shared" si="12"/>
        <v>3502.5789585999996</v>
      </c>
      <c r="J110" s="444">
        <v>3196.3669999999997</v>
      </c>
      <c r="L110" s="445">
        <f t="shared" si="13"/>
        <v>39757.733999999997</v>
      </c>
      <c r="N110" s="445">
        <f t="shared" si="14"/>
        <v>159030.93599999999</v>
      </c>
    </row>
    <row r="111" spans="1:14" ht="30" x14ac:dyDescent="0.25">
      <c r="A111" s="209">
        <v>13.6</v>
      </c>
      <c r="B111" s="440"/>
      <c r="C111" s="481" t="s">
        <v>1068</v>
      </c>
      <c r="D111" s="209" t="s">
        <v>1069</v>
      </c>
      <c r="E111" s="458">
        <v>2</v>
      </c>
      <c r="F111" s="464">
        <v>158891</v>
      </c>
      <c r="G111" s="479">
        <f t="shared" si="16"/>
        <v>317782</v>
      </c>
      <c r="I111" s="444">
        <f t="shared" si="12"/>
        <v>15221.757799999999</v>
      </c>
      <c r="J111" s="444">
        <v>13891</v>
      </c>
      <c r="L111" s="445">
        <f t="shared" si="13"/>
        <v>172782</v>
      </c>
      <c r="N111" s="445">
        <f t="shared" si="14"/>
        <v>345564</v>
      </c>
    </row>
    <row r="112" spans="1:14" ht="30" x14ac:dyDescent="0.25">
      <c r="A112" s="209">
        <v>13.7</v>
      </c>
      <c r="B112" s="440" t="s">
        <v>960</v>
      </c>
      <c r="C112" s="481" t="s">
        <v>1070</v>
      </c>
      <c r="D112" s="209" t="s">
        <v>1005</v>
      </c>
      <c r="E112" s="458">
        <v>2</v>
      </c>
      <c r="F112" s="464">
        <v>465715</v>
      </c>
      <c r="G112" s="479">
        <f t="shared" si="16"/>
        <v>931430</v>
      </c>
      <c r="I112" s="444">
        <f t="shared" si="12"/>
        <v>44615.496999999996</v>
      </c>
      <c r="J112" s="444">
        <v>40715</v>
      </c>
      <c r="L112" s="445">
        <f t="shared" si="13"/>
        <v>506430</v>
      </c>
      <c r="N112" s="445">
        <f t="shared" si="14"/>
        <v>1012860</v>
      </c>
    </row>
    <row r="113" spans="1:14" x14ac:dyDescent="0.25">
      <c r="A113" s="209">
        <v>13.7</v>
      </c>
      <c r="B113" s="440"/>
      <c r="C113" s="481" t="s">
        <v>1071</v>
      </c>
      <c r="D113" s="209" t="s">
        <v>1072</v>
      </c>
      <c r="E113" s="458">
        <v>1</v>
      </c>
      <c r="F113" s="464">
        <v>38572.160000000003</v>
      </c>
      <c r="G113" s="479">
        <f t="shared" si="16"/>
        <v>38572.160000000003</v>
      </c>
      <c r="I113" s="444">
        <f t="shared" si="12"/>
        <v>3695.2129280000004</v>
      </c>
      <c r="J113" s="444">
        <v>3372.16</v>
      </c>
      <c r="L113" s="445">
        <f t="shared" si="13"/>
        <v>41944.320000000007</v>
      </c>
      <c r="N113" s="445">
        <f t="shared" si="14"/>
        <v>41944.320000000007</v>
      </c>
    </row>
    <row r="114" spans="1:14" x14ac:dyDescent="0.25">
      <c r="A114" s="209">
        <v>13.8</v>
      </c>
      <c r="B114" s="440"/>
      <c r="C114" s="481" t="s">
        <v>1073</v>
      </c>
      <c r="D114" s="209" t="s">
        <v>990</v>
      </c>
      <c r="E114" s="458">
        <v>9</v>
      </c>
      <c r="F114" s="464">
        <v>17094.48</v>
      </c>
      <c r="G114" s="479">
        <f t="shared" si="16"/>
        <v>153850.32</v>
      </c>
      <c r="I114" s="444">
        <f t="shared" si="12"/>
        <v>1637.6511839999998</v>
      </c>
      <c r="J114" s="444">
        <v>1494.48</v>
      </c>
      <c r="L114" s="445">
        <f t="shared" si="13"/>
        <v>18588.96</v>
      </c>
      <c r="N114" s="445">
        <f t="shared" si="14"/>
        <v>167300.63999999998</v>
      </c>
    </row>
    <row r="115" spans="1:14" x14ac:dyDescent="0.25">
      <c r="A115" s="209">
        <v>13.9</v>
      </c>
      <c r="B115" s="440"/>
      <c r="C115" s="481" t="s">
        <v>1074</v>
      </c>
      <c r="D115" s="209" t="s">
        <v>34</v>
      </c>
      <c r="E115" s="458">
        <v>4.8</v>
      </c>
      <c r="F115" s="464">
        <v>120538</v>
      </c>
      <c r="G115" s="479">
        <f t="shared" si="16"/>
        <v>578582.4</v>
      </c>
      <c r="I115" s="444">
        <f t="shared" si="12"/>
        <v>11547.5404</v>
      </c>
      <c r="J115" s="444">
        <v>10538</v>
      </c>
      <c r="L115" s="445">
        <f t="shared" si="13"/>
        <v>131076</v>
      </c>
      <c r="N115" s="445">
        <f t="shared" si="14"/>
        <v>629164.79999999993</v>
      </c>
    </row>
    <row r="116" spans="1:14" ht="15.75" x14ac:dyDescent="0.25">
      <c r="A116" s="483">
        <v>14</v>
      </c>
      <c r="B116" s="484"/>
      <c r="C116" s="485" t="s">
        <v>1075</v>
      </c>
      <c r="D116" s="484"/>
      <c r="E116" s="486"/>
      <c r="F116" s="487"/>
      <c r="G116" s="488">
        <f>SUM(G117:G124)</f>
        <v>34762276.861840002</v>
      </c>
      <c r="H116" s="439"/>
      <c r="I116" s="444">
        <f t="shared" si="12"/>
        <v>0</v>
      </c>
      <c r="J116" s="444">
        <v>0</v>
      </c>
      <c r="L116" s="445">
        <f t="shared" si="13"/>
        <v>0</v>
      </c>
      <c r="N116" s="445">
        <f t="shared" si="14"/>
        <v>0</v>
      </c>
    </row>
    <row r="117" spans="1:14" ht="15" customHeight="1" x14ac:dyDescent="0.25">
      <c r="A117" s="459">
        <v>14.1</v>
      </c>
      <c r="B117" s="452"/>
      <c r="C117" s="447" t="s">
        <v>1076</v>
      </c>
      <c r="D117" s="209" t="s">
        <v>80</v>
      </c>
      <c r="E117" s="458">
        <v>55</v>
      </c>
      <c r="F117" s="464">
        <v>103153.133</v>
      </c>
      <c r="G117" s="463">
        <f>+E117*F117</f>
        <v>5673422.3150000004</v>
      </c>
      <c r="I117" s="444">
        <f t="shared" si="12"/>
        <v>9882.0701413999996</v>
      </c>
      <c r="J117" s="444">
        <v>9018.1329999999998</v>
      </c>
      <c r="L117" s="445">
        <f t="shared" si="13"/>
        <v>112171.266</v>
      </c>
      <c r="N117" s="445">
        <f t="shared" si="14"/>
        <v>6169419.6299999999</v>
      </c>
    </row>
    <row r="118" spans="1:14" ht="15" customHeight="1" x14ac:dyDescent="0.25">
      <c r="A118" s="459">
        <v>14.2</v>
      </c>
      <c r="B118" s="452"/>
      <c r="C118" s="447" t="s">
        <v>1077</v>
      </c>
      <c r="D118" s="209" t="s">
        <v>995</v>
      </c>
      <c r="E118" s="458">
        <v>2</v>
      </c>
      <c r="F118" s="464">
        <v>989696.97340000002</v>
      </c>
      <c r="G118" s="463">
        <f t="shared" ref="G118:G124" si="17">+E118*F118</f>
        <v>1979393.9468</v>
      </c>
      <c r="I118" s="444">
        <f t="shared" si="12"/>
        <v>94812.970051719996</v>
      </c>
      <c r="J118" s="444">
        <v>86523.973400000003</v>
      </c>
      <c r="L118" s="445">
        <f t="shared" si="13"/>
        <v>1076220.9468</v>
      </c>
      <c r="N118" s="445">
        <f t="shared" si="14"/>
        <v>2152441.8936000001</v>
      </c>
    </row>
    <row r="119" spans="1:14" ht="15" customHeight="1" x14ac:dyDescent="0.25">
      <c r="A119" s="459">
        <v>14.3</v>
      </c>
      <c r="B119" s="452"/>
      <c r="C119" s="447" t="s">
        <v>1078</v>
      </c>
      <c r="D119" s="209" t="s">
        <v>995</v>
      </c>
      <c r="E119" s="458">
        <v>3</v>
      </c>
      <c r="F119" s="464">
        <v>311802.2194</v>
      </c>
      <c r="G119" s="463">
        <f t="shared" si="17"/>
        <v>935406.65819999995</v>
      </c>
      <c r="I119" s="444">
        <f t="shared" si="12"/>
        <v>29870.652618519998</v>
      </c>
      <c r="J119" s="444">
        <v>27259.219399999998</v>
      </c>
      <c r="L119" s="445">
        <f t="shared" si="13"/>
        <v>339061.4388</v>
      </c>
      <c r="N119" s="445">
        <f t="shared" si="14"/>
        <v>1017184.3164</v>
      </c>
    </row>
    <row r="120" spans="1:14" ht="15" customHeight="1" x14ac:dyDescent="0.25">
      <c r="A120" s="459">
        <v>14.4</v>
      </c>
      <c r="B120" s="452"/>
      <c r="C120" s="447" t="s">
        <v>1079</v>
      </c>
      <c r="D120" s="209" t="s">
        <v>995</v>
      </c>
      <c r="E120" s="458">
        <v>1</v>
      </c>
      <c r="F120" s="464">
        <v>246054.2194</v>
      </c>
      <c r="G120" s="463">
        <f t="shared" si="17"/>
        <v>246054.2194</v>
      </c>
      <c r="I120" s="444">
        <f t="shared" si="12"/>
        <v>23571.994218519998</v>
      </c>
      <c r="J120" s="444">
        <v>21511.219399999998</v>
      </c>
      <c r="L120" s="445">
        <f t="shared" si="13"/>
        <v>267565.4388</v>
      </c>
      <c r="N120" s="445">
        <f t="shared" si="14"/>
        <v>267565.4388</v>
      </c>
    </row>
    <row r="121" spans="1:14" ht="15" customHeight="1" x14ac:dyDescent="0.25">
      <c r="A121" s="459">
        <v>14.5</v>
      </c>
      <c r="B121" s="452"/>
      <c r="C121" s="447" t="s">
        <v>1080</v>
      </c>
      <c r="D121" s="209" t="s">
        <v>34</v>
      </c>
      <c r="E121" s="458">
        <v>4.8</v>
      </c>
      <c r="F121" s="464">
        <v>268471</v>
      </c>
      <c r="G121" s="463">
        <f t="shared" si="17"/>
        <v>1288660.8</v>
      </c>
      <c r="I121" s="444">
        <f t="shared" si="12"/>
        <v>25719.521799999999</v>
      </c>
      <c r="J121" s="444">
        <v>23471</v>
      </c>
      <c r="L121" s="445">
        <f t="shared" si="13"/>
        <v>291942</v>
      </c>
      <c r="N121" s="445">
        <f t="shared" si="14"/>
        <v>1401321.5999999999</v>
      </c>
    </row>
    <row r="122" spans="1:14" ht="15" customHeight="1" x14ac:dyDescent="0.25">
      <c r="A122" s="459">
        <v>14.5</v>
      </c>
      <c r="B122" s="452"/>
      <c r="C122" s="447" t="s">
        <v>1081</v>
      </c>
      <c r="D122" s="209" t="s">
        <v>34</v>
      </c>
      <c r="E122" s="458">
        <v>26</v>
      </c>
      <c r="F122" s="464">
        <v>284908</v>
      </c>
      <c r="G122" s="463">
        <f t="shared" si="17"/>
        <v>7407608</v>
      </c>
      <c r="I122" s="444">
        <f t="shared" si="12"/>
        <v>27294.186399999999</v>
      </c>
      <c r="J122" s="444">
        <v>24908</v>
      </c>
      <c r="L122" s="445">
        <f t="shared" si="13"/>
        <v>309816</v>
      </c>
      <c r="N122" s="445">
        <f t="shared" si="14"/>
        <v>8055216</v>
      </c>
    </row>
    <row r="123" spans="1:14" ht="15" customHeight="1" x14ac:dyDescent="0.25">
      <c r="A123" s="459">
        <v>14.6</v>
      </c>
      <c r="B123" s="452"/>
      <c r="C123" s="447" t="s">
        <v>1082</v>
      </c>
      <c r="D123" s="209" t="s">
        <v>80</v>
      </c>
      <c r="E123" s="458">
        <v>98.21</v>
      </c>
      <c r="F123" s="464">
        <v>163909.764</v>
      </c>
      <c r="G123" s="463">
        <f t="shared" si="17"/>
        <v>16097577.922439998</v>
      </c>
      <c r="I123" s="444">
        <f t="shared" si="12"/>
        <v>15702.5553912</v>
      </c>
      <c r="J123" s="444">
        <v>14329.763999999999</v>
      </c>
      <c r="L123" s="445">
        <f t="shared" si="13"/>
        <v>178239.52799999999</v>
      </c>
      <c r="N123" s="445">
        <f t="shared" si="14"/>
        <v>17504904.044879999</v>
      </c>
    </row>
    <row r="124" spans="1:14" ht="15" customHeight="1" x14ac:dyDescent="0.25">
      <c r="A124" s="459">
        <v>14.7</v>
      </c>
      <c r="B124" s="452"/>
      <c r="C124" s="447" t="s">
        <v>1083</v>
      </c>
      <c r="D124" s="209" t="s">
        <v>34</v>
      </c>
      <c r="E124" s="458">
        <v>7.5</v>
      </c>
      <c r="F124" s="464">
        <v>151220.4</v>
      </c>
      <c r="G124" s="463">
        <f t="shared" si="17"/>
        <v>1134153</v>
      </c>
      <c r="I124" s="444">
        <f t="shared" si="12"/>
        <v>14486.914319999998</v>
      </c>
      <c r="J124" s="444">
        <v>13220.4</v>
      </c>
      <c r="L124" s="445">
        <f t="shared" si="13"/>
        <v>164440.79999999999</v>
      </c>
      <c r="N124" s="445">
        <f t="shared" si="14"/>
        <v>1233306</v>
      </c>
    </row>
    <row r="125" spans="1:14" ht="15.75" x14ac:dyDescent="0.25">
      <c r="A125" s="483">
        <v>15</v>
      </c>
      <c r="B125" s="484"/>
      <c r="C125" s="485" t="s">
        <v>1084</v>
      </c>
      <c r="D125" s="484"/>
      <c r="E125" s="486"/>
      <c r="F125" s="487"/>
      <c r="G125" s="488">
        <f>SUM(G126:G128)</f>
        <v>8564772.8000000007</v>
      </c>
      <c r="H125" s="439"/>
      <c r="I125" s="444">
        <f t="shared" si="12"/>
        <v>0</v>
      </c>
      <c r="J125" s="444">
        <v>0</v>
      </c>
      <c r="L125" s="445">
        <f t="shared" si="13"/>
        <v>0</v>
      </c>
      <c r="N125" s="445">
        <f t="shared" si="14"/>
        <v>0</v>
      </c>
    </row>
    <row r="126" spans="1:14" ht="15" customHeight="1" x14ac:dyDescent="0.25">
      <c r="A126" s="459">
        <v>15.1</v>
      </c>
      <c r="B126" s="452"/>
      <c r="C126" s="447" t="s">
        <v>1085</v>
      </c>
      <c r="D126" s="209" t="s">
        <v>80</v>
      </c>
      <c r="E126" s="458">
        <v>420</v>
      </c>
      <c r="F126" s="464">
        <v>5259.84</v>
      </c>
      <c r="G126" s="463">
        <f>+E126*F126</f>
        <v>2209132.8000000003</v>
      </c>
      <c r="I126" s="444">
        <f t="shared" si="12"/>
        <v>503.892672</v>
      </c>
      <c r="J126" s="444">
        <v>459.84</v>
      </c>
      <c r="L126" s="445">
        <f t="shared" si="13"/>
        <v>5719.68</v>
      </c>
      <c r="N126" s="445">
        <f t="shared" si="14"/>
        <v>2402265.6</v>
      </c>
    </row>
    <row r="127" spans="1:14" x14ac:dyDescent="0.25">
      <c r="A127" s="459">
        <v>15.2</v>
      </c>
      <c r="B127" s="209"/>
      <c r="C127" s="489" t="s">
        <v>1086</v>
      </c>
      <c r="D127" s="209" t="s">
        <v>1087</v>
      </c>
      <c r="E127" s="458">
        <v>1</v>
      </c>
      <c r="F127" s="464">
        <v>3835300</v>
      </c>
      <c r="G127" s="463">
        <f t="shared" ref="G127:G128" si="18">+E127*F127</f>
        <v>3835300</v>
      </c>
      <c r="I127" s="444">
        <f t="shared" si="12"/>
        <v>367421.74</v>
      </c>
      <c r="J127" s="444">
        <v>335300</v>
      </c>
      <c r="L127" s="445">
        <f t="shared" si="13"/>
        <v>4170600</v>
      </c>
      <c r="N127" s="445">
        <f t="shared" si="14"/>
        <v>4170600</v>
      </c>
    </row>
    <row r="128" spans="1:14" x14ac:dyDescent="0.25">
      <c r="A128" s="459">
        <v>15.3</v>
      </c>
      <c r="B128" s="209" t="s">
        <v>960</v>
      </c>
      <c r="C128" s="489" t="s">
        <v>898</v>
      </c>
      <c r="D128" s="209" t="s">
        <v>1087</v>
      </c>
      <c r="E128" s="458">
        <v>1</v>
      </c>
      <c r="F128" s="464">
        <v>2520340</v>
      </c>
      <c r="G128" s="463">
        <f t="shared" si="18"/>
        <v>2520340</v>
      </c>
      <c r="I128" s="444">
        <f t="shared" si="12"/>
        <v>241448.57199999999</v>
      </c>
      <c r="J128" s="444">
        <v>220340</v>
      </c>
      <c r="L128" s="445">
        <f t="shared" si="13"/>
        <v>2740680</v>
      </c>
      <c r="N128" s="445">
        <f t="shared" si="14"/>
        <v>2740680</v>
      </c>
    </row>
    <row r="129" spans="1:14" ht="15.75" x14ac:dyDescent="0.25">
      <c r="A129" s="483">
        <v>16</v>
      </c>
      <c r="B129" s="484"/>
      <c r="C129" s="485" t="s">
        <v>541</v>
      </c>
      <c r="D129" s="484"/>
      <c r="E129" s="486"/>
      <c r="F129" s="487"/>
      <c r="G129" s="488">
        <f>SUM(G130)</f>
        <v>3034870</v>
      </c>
      <c r="H129" s="439"/>
      <c r="I129" s="444">
        <f t="shared" si="12"/>
        <v>0</v>
      </c>
      <c r="J129" s="444">
        <v>0</v>
      </c>
      <c r="L129" s="445">
        <f t="shared" si="13"/>
        <v>0</v>
      </c>
      <c r="N129" s="445">
        <f t="shared" si="14"/>
        <v>0</v>
      </c>
    </row>
    <row r="130" spans="1:14" x14ac:dyDescent="0.25">
      <c r="A130" s="459">
        <v>16.100000000000001</v>
      </c>
      <c r="B130" s="209"/>
      <c r="C130" s="489" t="s">
        <v>541</v>
      </c>
      <c r="D130" s="209" t="s">
        <v>1088</v>
      </c>
      <c r="E130" s="458">
        <v>1</v>
      </c>
      <c r="F130" s="490">
        <v>3034870</v>
      </c>
      <c r="G130" s="491">
        <f>+E130*F130</f>
        <v>3034870</v>
      </c>
      <c r="I130" s="444">
        <f t="shared" si="12"/>
        <v>290740.54599999997</v>
      </c>
      <c r="J130" s="444">
        <v>268240</v>
      </c>
      <c r="L130" s="445">
        <f t="shared" si="13"/>
        <v>3303110</v>
      </c>
      <c r="N130" s="445">
        <f t="shared" si="14"/>
        <v>3303110</v>
      </c>
    </row>
    <row r="131" spans="1:14" ht="15.75" thickBot="1" x14ac:dyDescent="0.3">
      <c r="A131" s="427"/>
      <c r="B131" s="428"/>
      <c r="C131" s="492"/>
      <c r="D131" s="428"/>
      <c r="E131" s="493"/>
      <c r="F131" s="494"/>
      <c r="G131" s="495"/>
    </row>
    <row r="132" spans="1:14" x14ac:dyDescent="0.25">
      <c r="A132" s="546"/>
      <c r="B132" s="546"/>
      <c r="C132" s="546"/>
      <c r="D132" s="546"/>
      <c r="E132" s="546"/>
      <c r="F132" s="546"/>
      <c r="G132" s="546"/>
    </row>
    <row r="133" spans="1:14" ht="15.75" thickBot="1" x14ac:dyDescent="0.3">
      <c r="A133" s="546"/>
      <c r="B133" s="546"/>
      <c r="C133" s="546"/>
      <c r="D133" s="546"/>
      <c r="E133" s="546"/>
      <c r="F133" s="546"/>
      <c r="G133" s="546"/>
      <c r="N133" s="445">
        <f>SUM(N7:N132)</f>
        <v>779686436.03009617</v>
      </c>
    </row>
    <row r="134" spans="1:14" x14ac:dyDescent="0.25">
      <c r="A134" s="496"/>
      <c r="B134" s="497"/>
      <c r="C134" s="498" t="s">
        <v>1089</v>
      </c>
      <c r="D134" s="497"/>
      <c r="E134" s="499"/>
      <c r="F134" s="500"/>
      <c r="G134" s="501">
        <f>+G129+G125+G116+G105+G67+G57+G51+G45+G37+G30+G25+G22+G16+G12+G8+G6</f>
        <v>716999999.79504812</v>
      </c>
      <c r="K134" s="499"/>
      <c r="L134" s="500"/>
      <c r="N134" s="445">
        <f>+N133*K135</f>
        <v>233905930.80902883</v>
      </c>
    </row>
    <row r="135" spans="1:14" x14ac:dyDescent="0.25">
      <c r="A135" s="459"/>
      <c r="B135" s="209"/>
      <c r="C135" s="489" t="s">
        <v>736</v>
      </c>
      <c r="D135" s="209"/>
      <c r="E135" s="502">
        <v>0.3</v>
      </c>
      <c r="F135" s="490"/>
      <c r="G135" s="491">
        <f>+G134*E135</f>
        <v>215099999.93851444</v>
      </c>
      <c r="K135" s="502">
        <v>0.3</v>
      </c>
      <c r="L135" s="490"/>
    </row>
    <row r="136" spans="1:14" x14ac:dyDescent="0.25">
      <c r="A136" s="459"/>
      <c r="B136" s="209" t="s">
        <v>1090</v>
      </c>
      <c r="C136" s="489" t="s">
        <v>1091</v>
      </c>
      <c r="D136" s="209" t="s">
        <v>1092</v>
      </c>
      <c r="E136" s="502">
        <v>0.23449999999999999</v>
      </c>
      <c r="F136" s="464">
        <f>+G134*E136</f>
        <v>168136499.95193878</v>
      </c>
      <c r="G136" s="491"/>
      <c r="K136" s="502">
        <v>0.23449999999999999</v>
      </c>
      <c r="L136" s="464">
        <f>+M134*K136</f>
        <v>0</v>
      </c>
      <c r="N136" s="503">
        <f>+N133+N134</f>
        <v>1013592366.839125</v>
      </c>
    </row>
    <row r="137" spans="1:14" x14ac:dyDescent="0.25">
      <c r="A137" s="459"/>
      <c r="B137" s="209" t="s">
        <v>1093</v>
      </c>
      <c r="C137" s="489" t="s">
        <v>1094</v>
      </c>
      <c r="D137" s="209" t="s">
        <v>1092</v>
      </c>
      <c r="E137" s="504">
        <v>1.55E-2</v>
      </c>
      <c r="F137" s="464">
        <f>+G134*E137</f>
        <v>11113499.996823246</v>
      </c>
      <c r="G137" s="491"/>
      <c r="K137" s="504">
        <v>1.55E-2</v>
      </c>
      <c r="L137" s="464">
        <f>+M134*K137</f>
        <v>0</v>
      </c>
    </row>
    <row r="138" spans="1:14" x14ac:dyDescent="0.25">
      <c r="A138" s="459"/>
      <c r="B138" s="209" t="s">
        <v>1095</v>
      </c>
      <c r="C138" s="489" t="s">
        <v>1096</v>
      </c>
      <c r="D138" s="209" t="s">
        <v>1092</v>
      </c>
      <c r="E138" s="502">
        <v>0.05</v>
      </c>
      <c r="F138" s="464">
        <f>+G134*E138</f>
        <v>35849999.989752404</v>
      </c>
      <c r="G138" s="491"/>
      <c r="K138" s="502">
        <v>0.05</v>
      </c>
      <c r="L138" s="464">
        <f>+M134*K138</f>
        <v>0</v>
      </c>
    </row>
    <row r="139" spans="1:14" ht="15.75" thickBot="1" x14ac:dyDescent="0.3">
      <c r="A139" s="505"/>
      <c r="B139" s="506"/>
      <c r="C139" s="507" t="s">
        <v>1097</v>
      </c>
      <c r="D139" s="506"/>
      <c r="E139" s="508"/>
      <c r="F139" s="509"/>
      <c r="G139" s="510">
        <f>+G134+G135</f>
        <v>932099999.73356259</v>
      </c>
      <c r="K139" s="508"/>
      <c r="L139" s="509"/>
    </row>
    <row r="140" spans="1:14" x14ac:dyDescent="0.25">
      <c r="A140" s="547"/>
      <c r="B140" s="547"/>
      <c r="C140" s="547"/>
      <c r="D140" s="547"/>
      <c r="E140" s="547"/>
      <c r="F140" s="547"/>
      <c r="G140" s="547"/>
    </row>
    <row r="141" spans="1:14" x14ac:dyDescent="0.25">
      <c r="A141" s="546"/>
      <c r="B141" s="546"/>
      <c r="C141" s="546"/>
      <c r="D141" s="546"/>
      <c r="E141" s="546"/>
      <c r="F141" s="546"/>
      <c r="G141" s="546"/>
    </row>
    <row r="142" spans="1:14" x14ac:dyDescent="0.25">
      <c r="A142" s="209"/>
      <c r="B142" s="209"/>
      <c r="C142" s="489"/>
      <c r="D142" s="511" t="s">
        <v>1098</v>
      </c>
      <c r="E142" s="512" t="s">
        <v>1099</v>
      </c>
      <c r="F142" s="513" t="s">
        <v>1100</v>
      </c>
      <c r="G142" s="548" t="s">
        <v>1101</v>
      </c>
    </row>
    <row r="143" spans="1:14" x14ac:dyDescent="0.25">
      <c r="A143" s="549" t="s">
        <v>1102</v>
      </c>
      <c r="B143" s="549"/>
      <c r="C143" s="549"/>
      <c r="D143" s="511" t="s">
        <v>1103</v>
      </c>
      <c r="E143" s="512" t="s">
        <v>1104</v>
      </c>
      <c r="F143" s="513" t="s">
        <v>1105</v>
      </c>
      <c r="G143" s="548"/>
    </row>
    <row r="144" spans="1:14" x14ac:dyDescent="0.25">
      <c r="A144" s="209"/>
      <c r="B144" s="209"/>
      <c r="C144" s="489" t="s">
        <v>1106</v>
      </c>
      <c r="D144" s="514">
        <v>4.4999999999999998E-2</v>
      </c>
      <c r="E144" s="502">
        <v>0.04</v>
      </c>
      <c r="F144" s="515" t="s">
        <v>1107</v>
      </c>
      <c r="G144" s="516" t="s">
        <v>1107</v>
      </c>
    </row>
    <row r="145" spans="1:9" x14ac:dyDescent="0.25">
      <c r="A145" s="209"/>
      <c r="B145" s="209"/>
      <c r="C145" s="489" t="s">
        <v>1108</v>
      </c>
      <c r="D145" s="514">
        <v>1.2999999999999999E-2</v>
      </c>
      <c r="E145" s="502">
        <v>1.2E-2</v>
      </c>
      <c r="F145" s="515" t="s">
        <v>1109</v>
      </c>
      <c r="G145" s="516" t="s">
        <v>1109</v>
      </c>
    </row>
    <row r="146" spans="1:9" x14ac:dyDescent="0.25">
      <c r="A146" s="209"/>
      <c r="B146" s="209"/>
      <c r="C146" s="489" t="s">
        <v>1110</v>
      </c>
      <c r="D146" s="514">
        <v>1</v>
      </c>
      <c r="E146" s="502">
        <v>0.88700000000000001</v>
      </c>
      <c r="F146" s="515" t="s">
        <v>1111</v>
      </c>
      <c r="G146" s="516" t="s">
        <v>1112</v>
      </c>
    </row>
    <row r="147" spans="1:9" x14ac:dyDescent="0.25">
      <c r="A147" s="209"/>
      <c r="B147" s="209"/>
      <c r="C147" s="489" t="s">
        <v>1113</v>
      </c>
      <c r="D147" s="517">
        <v>7.0000000000000007E-2</v>
      </c>
      <c r="E147" s="518">
        <v>6.2</v>
      </c>
      <c r="F147" s="515" t="s">
        <v>1114</v>
      </c>
      <c r="G147" s="516" t="s">
        <v>1115</v>
      </c>
    </row>
    <row r="148" spans="1:9" x14ac:dyDescent="0.25">
      <c r="A148" s="209"/>
      <c r="B148" s="209"/>
      <c r="C148" s="489" t="s">
        <v>1116</v>
      </c>
      <c r="D148" s="209"/>
      <c r="E148" s="519">
        <v>100</v>
      </c>
      <c r="F148" s="515" t="s">
        <v>1117</v>
      </c>
      <c r="G148" s="516" t="s">
        <v>1118</v>
      </c>
    </row>
    <row r="149" spans="1:9" x14ac:dyDescent="0.25">
      <c r="A149" s="543" t="s">
        <v>1119</v>
      </c>
      <c r="B149" s="543"/>
      <c r="C149" s="543"/>
      <c r="D149" s="543"/>
      <c r="E149" s="543"/>
      <c r="F149" s="502">
        <v>8.4099999999999994E-2</v>
      </c>
      <c r="G149" s="516">
        <v>8.4099999999999994E-2</v>
      </c>
    </row>
    <row r="152" spans="1:9" ht="15.75" thickBot="1" x14ac:dyDescent="0.3"/>
    <row r="153" spans="1:9" x14ac:dyDescent="0.25">
      <c r="C153" s="520" t="s">
        <v>1120</v>
      </c>
      <c r="D153" s="521"/>
      <c r="E153" s="522" t="s">
        <v>1121</v>
      </c>
      <c r="F153" s="523" t="s">
        <v>1122</v>
      </c>
      <c r="G153" s="524" t="s">
        <v>1123</v>
      </c>
    </row>
    <row r="154" spans="1:9" x14ac:dyDescent="0.25">
      <c r="C154" s="525" t="s">
        <v>1124</v>
      </c>
      <c r="D154" s="526">
        <v>850650000</v>
      </c>
      <c r="E154" s="527">
        <v>850650000</v>
      </c>
      <c r="F154" s="187">
        <f>+(G154/E154)-1</f>
        <v>9.5750308587550625E-2</v>
      </c>
      <c r="G154" s="528">
        <v>932100000</v>
      </c>
      <c r="I154" s="445">
        <f>+G154+G155</f>
        <v>1001332000</v>
      </c>
    </row>
    <row r="155" spans="1:9" x14ac:dyDescent="0.25">
      <c r="C155" s="525" t="s">
        <v>1125</v>
      </c>
      <c r="D155" s="526">
        <v>59500000</v>
      </c>
      <c r="E155" s="527">
        <v>59500000</v>
      </c>
      <c r="F155" s="187">
        <f>+(G155/E155)-1</f>
        <v>0.16356302521008392</v>
      </c>
      <c r="G155" s="528">
        <v>69232000</v>
      </c>
    </row>
    <row r="156" spans="1:9" x14ac:dyDescent="0.25">
      <c r="C156" s="525" t="s">
        <v>1126</v>
      </c>
      <c r="D156" s="527">
        <v>37950000</v>
      </c>
      <c r="E156" s="527">
        <v>37950000</v>
      </c>
      <c r="F156" s="187">
        <f>+(G156/E156)-1</f>
        <v>0.22806324110671938</v>
      </c>
      <c r="G156" s="528">
        <v>46605000</v>
      </c>
    </row>
    <row r="157" spans="1:9" x14ac:dyDescent="0.25">
      <c r="C157" s="529" t="s">
        <v>1127</v>
      </c>
      <c r="D157" s="527">
        <v>13000000</v>
      </c>
      <c r="E157" s="527">
        <v>11300000</v>
      </c>
      <c r="F157" s="187">
        <f>+(G157/E157)-1</f>
        <v>1.4746017699115046</v>
      </c>
      <c r="G157" s="528">
        <v>27963000</v>
      </c>
    </row>
    <row r="158" spans="1:9" ht="15.75" thickBot="1" x14ac:dyDescent="0.3">
      <c r="C158" s="530" t="s">
        <v>1128</v>
      </c>
      <c r="D158" s="531"/>
      <c r="E158" s="532">
        <f>SUM(E154:E157)</f>
        <v>959400000</v>
      </c>
      <c r="F158" s="533">
        <f>+(G158/E158)-1</f>
        <v>0.12143006045445071</v>
      </c>
      <c r="G158" s="534">
        <f>SUM(G154:G157)</f>
        <v>1075900000</v>
      </c>
    </row>
  </sheetData>
  <mergeCells count="7">
    <mergeCell ref="A149:E149"/>
    <mergeCell ref="B2:E2"/>
    <mergeCell ref="B3:E3"/>
    <mergeCell ref="A132:G133"/>
    <mergeCell ref="A140:G141"/>
    <mergeCell ref="G142:G143"/>
    <mergeCell ref="A143:C143"/>
  </mergeCells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163"/>
  <sheetViews>
    <sheetView view="pageBreakPreview" topLeftCell="F1" zoomScaleNormal="100" zoomScaleSheetLayoutView="100" workbookViewId="0">
      <pane ySplit="3" topLeftCell="A4" activePane="bottomLeft" state="frozen"/>
      <selection activeCell="I1" sqref="I1"/>
      <selection pane="bottomLeft" activeCell="U149" sqref="U149"/>
    </sheetView>
  </sheetViews>
  <sheetFormatPr baseColWidth="10" defaultRowHeight="12.75" x14ac:dyDescent="0.2"/>
  <cols>
    <col min="1" max="1" width="6.42578125" style="8" customWidth="1"/>
    <col min="2" max="2" width="50.140625" style="9" customWidth="1"/>
    <col min="3" max="3" width="7.85546875" style="10" customWidth="1"/>
    <col min="4" max="4" width="11.42578125" style="10" customWidth="1"/>
    <col min="5" max="5" width="13.28515625" style="10" customWidth="1"/>
    <col min="6" max="6" width="15.7109375" style="10" customWidth="1"/>
    <col min="7" max="7" width="16.42578125" style="1" customWidth="1"/>
    <col min="8" max="8" width="6.42578125" style="1" hidden="1" customWidth="1"/>
    <col min="9" max="9" width="50.140625" style="1" hidden="1" customWidth="1"/>
    <col min="10" max="10" width="7.85546875" style="1" hidden="1" customWidth="1"/>
    <col min="11" max="11" width="0" style="1" hidden="1" customWidth="1"/>
    <col min="12" max="12" width="13.28515625" style="1" hidden="1" customWidth="1"/>
    <col min="13" max="13" width="15.7109375" style="1" hidden="1" customWidth="1"/>
    <col min="14" max="14" width="13.42578125" style="1" hidden="1" customWidth="1"/>
    <col min="15" max="15" width="11.42578125" style="1"/>
    <col min="16" max="16" width="6.42578125" style="1" customWidth="1"/>
    <col min="17" max="17" width="50.140625" style="1" customWidth="1"/>
    <col min="18" max="18" width="7.85546875" style="1" customWidth="1"/>
    <col min="19" max="19" width="13" style="1" customWidth="1"/>
    <col min="20" max="20" width="13.28515625" style="1" customWidth="1"/>
    <col min="21" max="21" width="19.42578125" style="1" customWidth="1"/>
    <col min="22" max="22" width="13.42578125" style="1" bestFit="1" customWidth="1"/>
    <col min="23" max="23" width="15.7109375" style="1" customWidth="1"/>
    <col min="24" max="16384" width="11.42578125" style="1"/>
  </cols>
  <sheetData>
    <row r="1" spans="1:22" ht="15" x14ac:dyDescent="0.25">
      <c r="A1" s="338"/>
      <c r="B1" s="561"/>
      <c r="C1" s="561"/>
      <c r="D1" s="561"/>
      <c r="E1" s="561"/>
      <c r="F1" s="562"/>
      <c r="P1" s="338"/>
      <c r="Q1" s="561" t="s">
        <v>936</v>
      </c>
      <c r="R1" s="561"/>
      <c r="S1" s="561"/>
      <c r="T1" s="561"/>
      <c r="U1" s="562"/>
      <c r="V1" s="394"/>
    </row>
    <row r="2" spans="1:22" s="96" customFormat="1" ht="15" x14ac:dyDescent="0.25">
      <c r="A2" s="339"/>
      <c r="B2" s="563" t="s">
        <v>791</v>
      </c>
      <c r="C2" s="563"/>
      <c r="D2" s="563"/>
      <c r="E2" s="563"/>
      <c r="F2" s="564"/>
      <c r="P2" s="398"/>
      <c r="Q2" s="563" t="s">
        <v>791</v>
      </c>
      <c r="R2" s="563"/>
      <c r="S2" s="563"/>
      <c r="T2" s="563"/>
      <c r="U2" s="564"/>
      <c r="V2" s="394"/>
    </row>
    <row r="3" spans="1:22" s="96" customFormat="1" ht="15" x14ac:dyDescent="0.25">
      <c r="A3" s="339"/>
      <c r="B3" s="563" t="s">
        <v>1130</v>
      </c>
      <c r="C3" s="563"/>
      <c r="D3" s="563"/>
      <c r="E3" s="563"/>
      <c r="F3" s="564"/>
      <c r="P3" s="398"/>
      <c r="Q3" s="563" t="s">
        <v>939</v>
      </c>
      <c r="R3" s="563"/>
      <c r="S3" s="563"/>
      <c r="T3" s="563"/>
      <c r="U3" s="564"/>
      <c r="V3" s="394" t="s">
        <v>914</v>
      </c>
    </row>
    <row r="4" spans="1:22" s="96" customFormat="1" ht="13.5" thickBot="1" x14ac:dyDescent="0.25">
      <c r="A4" s="336"/>
      <c r="B4" s="565"/>
      <c r="C4" s="565"/>
      <c r="D4" s="565"/>
      <c r="E4" s="565"/>
      <c r="F4" s="566"/>
      <c r="P4" s="399"/>
      <c r="Q4" s="565"/>
      <c r="R4" s="565"/>
      <c r="S4" s="565"/>
      <c r="T4" s="565"/>
      <c r="U4" s="566"/>
    </row>
    <row r="5" spans="1:22" ht="25.5" x14ac:dyDescent="0.2">
      <c r="A5" s="340" t="s">
        <v>0</v>
      </c>
      <c r="B5" s="341" t="s">
        <v>1</v>
      </c>
      <c r="C5" s="307" t="s">
        <v>2</v>
      </c>
      <c r="D5" s="307" t="s">
        <v>3</v>
      </c>
      <c r="E5" s="307" t="s">
        <v>4</v>
      </c>
      <c r="F5" s="342" t="s">
        <v>5</v>
      </c>
      <c r="G5" s="354" t="s">
        <v>893</v>
      </c>
      <c r="H5" s="340" t="s">
        <v>0</v>
      </c>
      <c r="I5" s="341" t="s">
        <v>1</v>
      </c>
      <c r="J5" s="307" t="s">
        <v>2</v>
      </c>
      <c r="K5" s="307" t="s">
        <v>3</v>
      </c>
      <c r="L5" s="307" t="s">
        <v>4</v>
      </c>
      <c r="M5" s="342" t="s">
        <v>5</v>
      </c>
      <c r="P5" s="340" t="s">
        <v>0</v>
      </c>
      <c r="Q5" s="341" t="s">
        <v>1</v>
      </c>
      <c r="R5" s="307" t="s">
        <v>2</v>
      </c>
      <c r="S5" s="307" t="s">
        <v>3</v>
      </c>
      <c r="T5" s="307" t="s">
        <v>4</v>
      </c>
      <c r="U5" s="342" t="s">
        <v>5</v>
      </c>
      <c r="V5" s="96"/>
    </row>
    <row r="6" spans="1:22" x14ac:dyDescent="0.2">
      <c r="A6" s="290">
        <v>1</v>
      </c>
      <c r="B6" s="299" t="s">
        <v>6</v>
      </c>
      <c r="C6" s="3"/>
      <c r="D6" s="3"/>
      <c r="E6" s="3"/>
      <c r="F6" s="65"/>
      <c r="G6" s="354"/>
      <c r="H6" s="290">
        <v>1</v>
      </c>
      <c r="I6" s="299" t="s">
        <v>6</v>
      </c>
      <c r="J6" s="3"/>
      <c r="K6" s="3"/>
      <c r="L6" s="3"/>
      <c r="M6" s="65"/>
      <c r="P6" s="290">
        <v>1</v>
      </c>
      <c r="Q6" s="299" t="s">
        <v>6</v>
      </c>
      <c r="R6" s="3"/>
      <c r="S6" s="3"/>
      <c r="T6" s="3"/>
      <c r="U6" s="65"/>
      <c r="V6" s="96"/>
    </row>
    <row r="7" spans="1:22" ht="38.25" x14ac:dyDescent="0.2">
      <c r="A7" s="291">
        <v>1.2</v>
      </c>
      <c r="B7" s="300" t="s">
        <v>459</v>
      </c>
      <c r="C7" s="98" t="s">
        <v>34</v>
      </c>
      <c r="D7" s="346">
        <v>1600</v>
      </c>
      <c r="E7" s="13">
        <v>1866.1226854166671</v>
      </c>
      <c r="F7" s="95">
        <f t="shared" ref="F7" si="0">E7*D7</f>
        <v>2985796.2966666673</v>
      </c>
      <c r="G7" s="354"/>
      <c r="H7" s="291">
        <v>1.2</v>
      </c>
      <c r="I7" s="300" t="s">
        <v>459</v>
      </c>
      <c r="J7" s="98" t="s">
        <v>34</v>
      </c>
      <c r="K7" s="346">
        <v>1258</v>
      </c>
      <c r="L7" s="13">
        <f>+'APU FORMATO'!F23</f>
        <v>1866.1226854166671</v>
      </c>
      <c r="M7" s="95">
        <f t="shared" ref="M7" si="1">L7*K7</f>
        <v>2347582.3382541672</v>
      </c>
      <c r="P7" s="401">
        <v>1.2</v>
      </c>
      <c r="Q7" s="402" t="s">
        <v>459</v>
      </c>
      <c r="R7" s="403" t="s">
        <v>34</v>
      </c>
      <c r="S7" s="327">
        <v>1258</v>
      </c>
      <c r="T7" s="328">
        <f>+'APU FORMATO'!F23</f>
        <v>1866.1226854166671</v>
      </c>
      <c r="U7" s="404">
        <f>ROUND(T7*S7,0)</f>
        <v>2347582</v>
      </c>
      <c r="V7" s="96"/>
    </row>
    <row r="8" spans="1:22" x14ac:dyDescent="0.2">
      <c r="A8" s="292">
        <v>2</v>
      </c>
      <c r="B8" s="301" t="s">
        <v>45</v>
      </c>
      <c r="C8" s="7"/>
      <c r="D8" s="7"/>
      <c r="E8" s="7"/>
      <c r="F8" s="69"/>
      <c r="G8" s="354"/>
      <c r="H8" s="292">
        <v>2</v>
      </c>
      <c r="I8" s="301" t="s">
        <v>45</v>
      </c>
      <c r="J8" s="7"/>
      <c r="K8" s="7"/>
      <c r="L8" s="7"/>
      <c r="M8" s="69"/>
      <c r="P8" s="292">
        <v>2</v>
      </c>
      <c r="Q8" s="405" t="s">
        <v>45</v>
      </c>
      <c r="R8" s="406"/>
      <c r="S8" s="406"/>
      <c r="T8" s="406"/>
      <c r="U8" s="407"/>
      <c r="V8" s="96"/>
    </row>
    <row r="9" spans="1:22" x14ac:dyDescent="0.2">
      <c r="A9" s="293">
        <v>2.2000000000000002</v>
      </c>
      <c r="B9" s="300" t="s">
        <v>9</v>
      </c>
      <c r="C9" s="98" t="s">
        <v>42</v>
      </c>
      <c r="D9" s="98">
        <v>400</v>
      </c>
      <c r="E9" s="13">
        <v>53770.919812499997</v>
      </c>
      <c r="F9" s="95">
        <f t="shared" ref="F9:F12" si="2">E9*D9</f>
        <v>21508367.924999997</v>
      </c>
      <c r="G9" s="354"/>
      <c r="H9" s="293">
        <v>2.2000000000000002</v>
      </c>
      <c r="I9" s="300" t="s">
        <v>9</v>
      </c>
      <c r="J9" s="98" t="s">
        <v>42</v>
      </c>
      <c r="K9" s="98">
        <f>+CANTIDADES!H14</f>
        <v>225</v>
      </c>
      <c r="L9" s="13">
        <f>+'APU FORMATO'!F89</f>
        <v>53770.919812499997</v>
      </c>
      <c r="M9" s="95">
        <f t="shared" ref="M9:M12" si="3">L9*K9</f>
        <v>12098456.957812499</v>
      </c>
      <c r="P9" s="408">
        <v>2.2000000000000002</v>
      </c>
      <c r="Q9" s="402" t="s">
        <v>9</v>
      </c>
      <c r="R9" s="403" t="s">
        <v>42</v>
      </c>
      <c r="S9" s="403">
        <f>+CANTIDADES!H14</f>
        <v>225</v>
      </c>
      <c r="T9" s="328">
        <f>+'APU FORMATO'!F89</f>
        <v>53770.919812499997</v>
      </c>
      <c r="U9" s="404">
        <f t="shared" ref="U9:U72" si="4">ROUND(T9*S9,0)</f>
        <v>12098457</v>
      </c>
      <c r="V9" s="96"/>
    </row>
    <row r="10" spans="1:22" x14ac:dyDescent="0.2">
      <c r="A10" s="293">
        <v>2.2999999999999998</v>
      </c>
      <c r="B10" s="300" t="s">
        <v>312</v>
      </c>
      <c r="C10" s="98" t="s">
        <v>42</v>
      </c>
      <c r="D10" s="161">
        <v>164.0932</v>
      </c>
      <c r="E10" s="13">
        <v>28802.1711875</v>
      </c>
      <c r="F10" s="95">
        <f t="shared" si="2"/>
        <v>4726240.437104675</v>
      </c>
      <c r="G10" s="354"/>
      <c r="H10" s="293">
        <v>2.2999999999999998</v>
      </c>
      <c r="I10" s="300" t="s">
        <v>312</v>
      </c>
      <c r="J10" s="98" t="s">
        <v>42</v>
      </c>
      <c r="K10" s="161">
        <f>+CANTIDADES!H24</f>
        <v>144.89320000000001</v>
      </c>
      <c r="L10" s="13">
        <f>+'APU FORMATO'!F111</f>
        <v>28802.1711875</v>
      </c>
      <c r="M10" s="95">
        <f t="shared" si="3"/>
        <v>4173238.7503046752</v>
      </c>
      <c r="P10" s="408">
        <v>2.2999999999999998</v>
      </c>
      <c r="Q10" s="402" t="s">
        <v>312</v>
      </c>
      <c r="R10" s="403" t="s">
        <v>42</v>
      </c>
      <c r="S10" s="409">
        <f>+CANTIDADES!H24</f>
        <v>144.89320000000001</v>
      </c>
      <c r="T10" s="328">
        <f>+'APU FORMATO'!F111</f>
        <v>28802.1711875</v>
      </c>
      <c r="U10" s="404">
        <f t="shared" si="4"/>
        <v>4173239</v>
      </c>
      <c r="V10" s="96"/>
    </row>
    <row r="11" spans="1:22" x14ac:dyDescent="0.2">
      <c r="A11" s="293">
        <v>2.4</v>
      </c>
      <c r="B11" s="300" t="s">
        <v>10</v>
      </c>
      <c r="C11" s="98" t="s">
        <v>42</v>
      </c>
      <c r="D11" s="161">
        <v>76.831999999999979</v>
      </c>
      <c r="E11" s="13">
        <v>66450.685433333332</v>
      </c>
      <c r="F11" s="95">
        <f t="shared" si="2"/>
        <v>5105539.0632138653</v>
      </c>
      <c r="G11" s="354"/>
      <c r="H11" s="293">
        <v>2.4</v>
      </c>
      <c r="I11" s="300" t="s">
        <v>10</v>
      </c>
      <c r="J11" s="98" t="s">
        <v>42</v>
      </c>
      <c r="K11" s="161">
        <f>+CANTIDADES!H37</f>
        <v>75.655999999999977</v>
      </c>
      <c r="L11" s="13">
        <f>+'APU FORMATO'!F133</f>
        <v>66450.685433333332</v>
      </c>
      <c r="M11" s="95">
        <f t="shared" si="3"/>
        <v>5027393.0571442647</v>
      </c>
      <c r="P11" s="408">
        <v>2.4</v>
      </c>
      <c r="Q11" s="402" t="s">
        <v>10</v>
      </c>
      <c r="R11" s="403" t="s">
        <v>42</v>
      </c>
      <c r="S11" s="409">
        <f>+CANTIDADES!H37</f>
        <v>75.655999999999977</v>
      </c>
      <c r="T11" s="328">
        <f>+'APU FORMATO'!F133</f>
        <v>66450.685433333332</v>
      </c>
      <c r="U11" s="404">
        <f t="shared" si="4"/>
        <v>5027393</v>
      </c>
      <c r="V11" s="96"/>
    </row>
    <row r="12" spans="1:22" x14ac:dyDescent="0.2">
      <c r="A12" s="293">
        <v>2.5</v>
      </c>
      <c r="B12" s="300" t="s">
        <v>11</v>
      </c>
      <c r="C12" s="98" t="s">
        <v>42</v>
      </c>
      <c r="D12" s="161">
        <v>40.767299999999999</v>
      </c>
      <c r="E12" s="13">
        <v>66450.685433333332</v>
      </c>
      <c r="F12" s="95">
        <f t="shared" si="2"/>
        <v>2709015.0282663298</v>
      </c>
      <c r="G12" s="354"/>
      <c r="H12" s="293">
        <v>2.5</v>
      </c>
      <c r="I12" s="300" t="s">
        <v>11</v>
      </c>
      <c r="J12" s="98" t="s">
        <v>42</v>
      </c>
      <c r="K12" s="161">
        <f>+CANTIDADES!H60</f>
        <v>40.683300000000003</v>
      </c>
      <c r="L12" s="13">
        <f>+'APU FORMATO'!F155</f>
        <v>66450.685433333332</v>
      </c>
      <c r="M12" s="95">
        <f t="shared" si="3"/>
        <v>2703433.1706899302</v>
      </c>
      <c r="P12" s="408">
        <v>2.5</v>
      </c>
      <c r="Q12" s="402" t="s">
        <v>11</v>
      </c>
      <c r="R12" s="403" t="s">
        <v>42</v>
      </c>
      <c r="S12" s="409">
        <f>+CANTIDADES!H60</f>
        <v>40.683300000000003</v>
      </c>
      <c r="T12" s="328">
        <f>+'APU FORMATO'!F155</f>
        <v>66450.685433333332</v>
      </c>
      <c r="U12" s="404">
        <f t="shared" si="4"/>
        <v>2703433</v>
      </c>
      <c r="V12" s="96"/>
    </row>
    <row r="13" spans="1:22" ht="25.5" x14ac:dyDescent="0.2">
      <c r="A13" s="293">
        <v>2.6</v>
      </c>
      <c r="B13" s="300" t="s">
        <v>12</v>
      </c>
      <c r="C13" s="98" t="s">
        <v>42</v>
      </c>
      <c r="D13" s="161">
        <v>325.73472999999996</v>
      </c>
      <c r="E13" s="13">
        <v>42803.68475</v>
      </c>
      <c r="F13" s="95">
        <f>E13*D13</f>
        <v>13942646.695046365</v>
      </c>
      <c r="G13" s="354"/>
      <c r="H13" s="293">
        <v>2.6</v>
      </c>
      <c r="I13" s="300" t="s">
        <v>12</v>
      </c>
      <c r="J13" s="98" t="s">
        <v>42</v>
      </c>
      <c r="K13" s="161">
        <f>+CANTIDADES!H84</f>
        <v>325.73472999999996</v>
      </c>
      <c r="L13" s="13">
        <f>+'APU FORMATO'!F177</f>
        <v>36803.68475</v>
      </c>
      <c r="M13" s="95">
        <f>L13*K13</f>
        <v>11988238.315046366</v>
      </c>
      <c r="P13" s="408">
        <v>2.6</v>
      </c>
      <c r="Q13" s="402" t="s">
        <v>12</v>
      </c>
      <c r="R13" s="403" t="s">
        <v>42</v>
      </c>
      <c r="S13" s="409">
        <f>+CANTIDADES!H84</f>
        <v>325.73472999999996</v>
      </c>
      <c r="T13" s="328">
        <f>+'APU FORMATO'!F177</f>
        <v>36803.68475</v>
      </c>
      <c r="U13" s="404">
        <f t="shared" si="4"/>
        <v>11988238</v>
      </c>
      <c r="V13" s="96"/>
    </row>
    <row r="14" spans="1:22" x14ac:dyDescent="0.2">
      <c r="A14" s="294">
        <v>3</v>
      </c>
      <c r="B14" s="301" t="s">
        <v>13</v>
      </c>
      <c r="C14" s="7"/>
      <c r="D14" s="7"/>
      <c r="E14" s="7"/>
      <c r="F14" s="69"/>
      <c r="G14" s="354"/>
      <c r="H14" s="294">
        <v>3</v>
      </c>
      <c r="I14" s="301" t="s">
        <v>13</v>
      </c>
      <c r="J14" s="7"/>
      <c r="K14" s="7"/>
      <c r="L14" s="7"/>
      <c r="M14" s="69"/>
      <c r="P14" s="410">
        <v>3</v>
      </c>
      <c r="Q14" s="405" t="s">
        <v>13</v>
      </c>
      <c r="R14" s="406"/>
      <c r="S14" s="406"/>
      <c r="T14" s="406"/>
      <c r="U14" s="407"/>
      <c r="V14" s="96"/>
    </row>
    <row r="15" spans="1:22" x14ac:dyDescent="0.2">
      <c r="A15" s="293">
        <v>3.1</v>
      </c>
      <c r="B15" s="300" t="s">
        <v>14</v>
      </c>
      <c r="C15" s="98" t="s">
        <v>34</v>
      </c>
      <c r="D15" s="161">
        <v>14.160999999999998</v>
      </c>
      <c r="E15" s="13">
        <v>23044.876450000003</v>
      </c>
      <c r="F15" s="95">
        <f t="shared" ref="F15:F24" si="5">E15*D15</f>
        <v>326338.49540845002</v>
      </c>
      <c r="G15" s="354"/>
      <c r="H15" s="293">
        <v>3.1</v>
      </c>
      <c r="I15" s="300" t="s">
        <v>14</v>
      </c>
      <c r="J15" s="98" t="s">
        <v>34</v>
      </c>
      <c r="K15" s="161">
        <f>+CANTIDADES!H26</f>
        <v>14.160999999999998</v>
      </c>
      <c r="L15" s="13">
        <f>+'APU FORMATO'!F199</f>
        <v>23044.876450000003</v>
      </c>
      <c r="M15" s="95">
        <f t="shared" ref="M15:M24" si="6">L15*K15</f>
        <v>326338.49540845002</v>
      </c>
      <c r="P15" s="408">
        <v>3.1</v>
      </c>
      <c r="Q15" s="402" t="s">
        <v>14</v>
      </c>
      <c r="R15" s="403" t="s">
        <v>34</v>
      </c>
      <c r="S15" s="409">
        <f>+CANTIDADES!H26</f>
        <v>14.160999999999998</v>
      </c>
      <c r="T15" s="328">
        <f>+'APU FORMATO'!F199</f>
        <v>23044.876450000003</v>
      </c>
      <c r="U15" s="404">
        <f t="shared" si="4"/>
        <v>326338</v>
      </c>
      <c r="V15" s="96"/>
    </row>
    <row r="16" spans="1:22" x14ac:dyDescent="0.2">
      <c r="A16" s="293">
        <v>3.2</v>
      </c>
      <c r="B16" s="300" t="s">
        <v>166</v>
      </c>
      <c r="C16" s="98" t="s">
        <v>42</v>
      </c>
      <c r="D16" s="161">
        <v>34.471999999999994</v>
      </c>
      <c r="E16" s="13">
        <v>622806.3857175</v>
      </c>
      <c r="F16" s="95">
        <f t="shared" si="5"/>
        <v>21469381.728453655</v>
      </c>
      <c r="G16" s="354"/>
      <c r="H16" s="293">
        <v>3.2</v>
      </c>
      <c r="I16" s="300" t="s">
        <v>166</v>
      </c>
      <c r="J16" s="98" t="s">
        <v>42</v>
      </c>
      <c r="K16" s="161">
        <f>+CANTIDADES!H99</f>
        <v>34.471999999999994</v>
      </c>
      <c r="L16" s="13">
        <f>+'APU FORMATO'!F221</f>
        <v>592106.3857175</v>
      </c>
      <c r="M16" s="95">
        <f t="shared" si="6"/>
        <v>20411091.328453656</v>
      </c>
      <c r="P16" s="408">
        <v>3.2</v>
      </c>
      <c r="Q16" s="402" t="s">
        <v>166</v>
      </c>
      <c r="R16" s="403" t="s">
        <v>42</v>
      </c>
      <c r="S16" s="409">
        <f>+CANTIDADES!H99</f>
        <v>34.471999999999994</v>
      </c>
      <c r="T16" s="328">
        <f>+'APU FORMATO'!F221</f>
        <v>592106.3857175</v>
      </c>
      <c r="U16" s="404">
        <f t="shared" si="4"/>
        <v>20411091</v>
      </c>
      <c r="V16" s="96"/>
    </row>
    <row r="17" spans="1:22" x14ac:dyDescent="0.2">
      <c r="A17" s="293">
        <v>3.3</v>
      </c>
      <c r="B17" s="300" t="s">
        <v>561</v>
      </c>
      <c r="C17" s="98" t="s">
        <v>42</v>
      </c>
      <c r="D17" s="161">
        <v>13.368191999999999</v>
      </c>
      <c r="E17" s="13">
        <v>682298.68996875</v>
      </c>
      <c r="F17" s="95">
        <f t="shared" si="5"/>
        <v>9121099.8888507225</v>
      </c>
      <c r="G17" s="354"/>
      <c r="H17" s="293">
        <v>3.3</v>
      </c>
      <c r="I17" s="300" t="s">
        <v>561</v>
      </c>
      <c r="J17" s="98" t="s">
        <v>42</v>
      </c>
      <c r="K17" s="161">
        <f>+CANTIDADES!H104</f>
        <v>13.368191999999999</v>
      </c>
      <c r="L17" s="13">
        <f>+'APU FORMATO'!F243</f>
        <v>613438.68996875</v>
      </c>
      <c r="M17" s="95">
        <f t="shared" si="6"/>
        <v>8200566.1877307231</v>
      </c>
      <c r="P17" s="408">
        <v>3.3</v>
      </c>
      <c r="Q17" s="402" t="s">
        <v>561</v>
      </c>
      <c r="R17" s="403" t="s">
        <v>42</v>
      </c>
      <c r="S17" s="409">
        <f>+CANTIDADES!H104</f>
        <v>13.368191999999999</v>
      </c>
      <c r="T17" s="328">
        <f>+'APU FORMATO'!F243</f>
        <v>613438.68996875</v>
      </c>
      <c r="U17" s="404">
        <f t="shared" si="4"/>
        <v>8200566</v>
      </c>
      <c r="V17" s="96"/>
    </row>
    <row r="18" spans="1:22" x14ac:dyDescent="0.2">
      <c r="A18" s="293">
        <v>3.4</v>
      </c>
      <c r="B18" s="300" t="s">
        <v>167</v>
      </c>
      <c r="C18" s="98" t="s">
        <v>42</v>
      </c>
      <c r="D18" s="161">
        <v>13.1745</v>
      </c>
      <c r="E18" s="13">
        <v>671236.20735625003</v>
      </c>
      <c r="F18" s="95">
        <f t="shared" si="5"/>
        <v>8843201.4138149153</v>
      </c>
      <c r="G18" s="354"/>
      <c r="H18" s="293">
        <v>3.4</v>
      </c>
      <c r="I18" s="300" t="s">
        <v>167</v>
      </c>
      <c r="J18" s="98" t="s">
        <v>42</v>
      </c>
      <c r="K18" s="161">
        <f>+CANTIDADES!H127</f>
        <v>12.4815</v>
      </c>
      <c r="L18" s="13">
        <f>+'APU FORMATO'!F266</f>
        <v>671236.20735625003</v>
      </c>
      <c r="M18" s="95">
        <f t="shared" si="6"/>
        <v>8378034.7221170347</v>
      </c>
      <c r="P18" s="408">
        <v>3.4</v>
      </c>
      <c r="Q18" s="402" t="s">
        <v>167</v>
      </c>
      <c r="R18" s="403" t="s">
        <v>42</v>
      </c>
      <c r="S18" s="409">
        <f>+CANTIDADES!H127</f>
        <v>12.4815</v>
      </c>
      <c r="T18" s="328">
        <f>+'APU FORMATO'!F266</f>
        <v>671236.20735625003</v>
      </c>
      <c r="U18" s="404">
        <f t="shared" si="4"/>
        <v>8378035</v>
      </c>
      <c r="V18" s="96"/>
    </row>
    <row r="19" spans="1:22" x14ac:dyDescent="0.2">
      <c r="A19" s="293">
        <v>3.5</v>
      </c>
      <c r="B19" s="300" t="s">
        <v>560</v>
      </c>
      <c r="C19" s="98" t="s">
        <v>42</v>
      </c>
      <c r="D19" s="161">
        <v>7.2071659999999991</v>
      </c>
      <c r="E19" s="13">
        <v>719092.27496875008</v>
      </c>
      <c r="F19" s="95">
        <f t="shared" si="5"/>
        <v>5182617.3950174255</v>
      </c>
      <c r="G19" s="354"/>
      <c r="H19" s="293">
        <v>3.5</v>
      </c>
      <c r="I19" s="300" t="s">
        <v>560</v>
      </c>
      <c r="J19" s="98" t="s">
        <v>42</v>
      </c>
      <c r="K19" s="161">
        <f>+CANTIDADES!H132</f>
        <v>7.2071659999999991</v>
      </c>
      <c r="L19" s="13">
        <f>+'APU FORMATO'!F288</f>
        <v>719092.27496875008</v>
      </c>
      <c r="M19" s="95">
        <f t="shared" si="6"/>
        <v>5182617.3950174255</v>
      </c>
      <c r="P19" s="408">
        <v>3.5</v>
      </c>
      <c r="Q19" s="402" t="s">
        <v>560</v>
      </c>
      <c r="R19" s="403" t="s">
        <v>42</v>
      </c>
      <c r="S19" s="409">
        <f>+CANTIDADES!H132</f>
        <v>7.2071659999999991</v>
      </c>
      <c r="T19" s="328">
        <f>+'APU FORMATO'!F288</f>
        <v>719092.27496875008</v>
      </c>
      <c r="U19" s="404">
        <f t="shared" si="4"/>
        <v>5182617</v>
      </c>
      <c r="V19" s="96"/>
    </row>
    <row r="20" spans="1:22" x14ac:dyDescent="0.2">
      <c r="A20" s="293">
        <v>3.6</v>
      </c>
      <c r="B20" s="300" t="s">
        <v>169</v>
      </c>
      <c r="C20" s="98" t="s">
        <v>34</v>
      </c>
      <c r="D20" s="161">
        <v>59.050000000000004</v>
      </c>
      <c r="E20" s="13">
        <v>122277.50968749999</v>
      </c>
      <c r="F20" s="95">
        <f t="shared" si="5"/>
        <v>7220486.947046875</v>
      </c>
      <c r="G20" s="354"/>
      <c r="H20" s="293">
        <v>3.6</v>
      </c>
      <c r="I20" s="300" t="s">
        <v>169</v>
      </c>
      <c r="J20" s="98" t="s">
        <v>34</v>
      </c>
      <c r="K20" s="161">
        <f>+CANTIDADES!H135</f>
        <v>49.050000000000004</v>
      </c>
      <c r="L20" s="13">
        <f>+'APU FORMATO'!F312</f>
        <v>122277.50968749999</v>
      </c>
      <c r="M20" s="95">
        <f t="shared" si="6"/>
        <v>5997711.8501718752</v>
      </c>
      <c r="P20" s="408">
        <v>3.6</v>
      </c>
      <c r="Q20" s="402" t="s">
        <v>169</v>
      </c>
      <c r="R20" s="403" t="s">
        <v>34</v>
      </c>
      <c r="S20" s="409">
        <f>+CANTIDADES!H135</f>
        <v>49.050000000000004</v>
      </c>
      <c r="T20" s="328">
        <f>+'APU FORMATO'!F312</f>
        <v>122277.50968749999</v>
      </c>
      <c r="U20" s="404">
        <f t="shared" si="4"/>
        <v>5997712</v>
      </c>
      <c r="V20" s="96">
        <f>12.3*4+2.7*2*2</f>
        <v>60</v>
      </c>
    </row>
    <row r="21" spans="1:22" x14ac:dyDescent="0.2">
      <c r="A21" s="293">
        <v>3.7</v>
      </c>
      <c r="B21" s="300" t="s">
        <v>15</v>
      </c>
      <c r="C21" s="98" t="s">
        <v>41</v>
      </c>
      <c r="D21" s="161">
        <v>7.8</v>
      </c>
      <c r="E21" s="13">
        <v>37171.422325</v>
      </c>
      <c r="F21" s="95">
        <f t="shared" si="5"/>
        <v>289937.09413499996</v>
      </c>
      <c r="G21" s="354"/>
      <c r="H21" s="293">
        <v>3.7</v>
      </c>
      <c r="I21" s="300" t="s">
        <v>15</v>
      </c>
      <c r="J21" s="98" t="s">
        <v>41</v>
      </c>
      <c r="K21" s="161">
        <f>+CANTIDADES!H142</f>
        <v>7.8</v>
      </c>
      <c r="L21" s="13">
        <f>+'APU FORMATO'!F334</f>
        <v>37171.422325</v>
      </c>
      <c r="M21" s="95">
        <f t="shared" si="6"/>
        <v>289937.09413499996</v>
      </c>
      <c r="P21" s="408">
        <v>3.7</v>
      </c>
      <c r="Q21" s="402" t="s">
        <v>15</v>
      </c>
      <c r="R21" s="403" t="s">
        <v>41</v>
      </c>
      <c r="S21" s="409">
        <f>+CANTIDADES!H142</f>
        <v>7.8</v>
      </c>
      <c r="T21" s="328">
        <f>+'APU FORMATO'!F334</f>
        <v>37171.422325</v>
      </c>
      <c r="U21" s="404">
        <f t="shared" si="4"/>
        <v>289937</v>
      </c>
      <c r="V21" s="96"/>
    </row>
    <row r="22" spans="1:22" x14ac:dyDescent="0.2">
      <c r="A22" s="293">
        <v>3.8</v>
      </c>
      <c r="B22" s="300" t="s">
        <v>562</v>
      </c>
      <c r="C22" s="98" t="s">
        <v>34</v>
      </c>
      <c r="D22" s="161">
        <v>2.3810000000000002</v>
      </c>
      <c r="E22" s="13">
        <v>567402.89350000001</v>
      </c>
      <c r="F22" s="95">
        <f t="shared" si="5"/>
        <v>1350986.2894235002</v>
      </c>
      <c r="G22" s="354"/>
      <c r="H22" s="293">
        <v>3.8</v>
      </c>
      <c r="I22" s="300" t="s">
        <v>562</v>
      </c>
      <c r="J22" s="98" t="s">
        <v>34</v>
      </c>
      <c r="K22" s="161">
        <f>+CANTIDADES!H146</f>
        <v>2.3810000000000002</v>
      </c>
      <c r="L22" s="13">
        <f>+'APU FORMATO'!F357</f>
        <v>567402.89350000001</v>
      </c>
      <c r="M22" s="95">
        <f t="shared" si="6"/>
        <v>1350986.2894235002</v>
      </c>
      <c r="P22" s="408">
        <v>3.8</v>
      </c>
      <c r="Q22" s="402" t="s">
        <v>562</v>
      </c>
      <c r="R22" s="403" t="s">
        <v>34</v>
      </c>
      <c r="S22" s="409">
        <f>+CANTIDADES!H146</f>
        <v>2.3810000000000002</v>
      </c>
      <c r="T22" s="328">
        <f>+'APU FORMATO'!F357</f>
        <v>567402.89350000001</v>
      </c>
      <c r="U22" s="404">
        <f t="shared" si="4"/>
        <v>1350986</v>
      </c>
      <c r="V22" s="96"/>
    </row>
    <row r="23" spans="1:22" ht="25.5" x14ac:dyDescent="0.2">
      <c r="A23" s="293">
        <v>3.9</v>
      </c>
      <c r="B23" s="300" t="s">
        <v>16</v>
      </c>
      <c r="C23" s="98" t="s">
        <v>34</v>
      </c>
      <c r="D23" s="98">
        <v>2.8079999999999998</v>
      </c>
      <c r="E23" s="13">
        <v>199915.32250000001</v>
      </c>
      <c r="F23" s="95">
        <f t="shared" si="5"/>
        <v>561362.22557999997</v>
      </c>
      <c r="G23" s="354"/>
      <c r="H23" s="293">
        <v>3.9</v>
      </c>
      <c r="I23" s="300" t="s">
        <v>16</v>
      </c>
      <c r="J23" s="98" t="s">
        <v>34</v>
      </c>
      <c r="K23" s="98">
        <f>+CANTIDADES!H149</f>
        <v>2.8079999999999998</v>
      </c>
      <c r="L23" s="13">
        <f>+'APU FORMATO'!F378</f>
        <v>199915.32250000001</v>
      </c>
      <c r="M23" s="95">
        <f t="shared" si="6"/>
        <v>561362.22557999997</v>
      </c>
      <c r="P23" s="408">
        <v>3.9</v>
      </c>
      <c r="Q23" s="402" t="s">
        <v>16</v>
      </c>
      <c r="R23" s="403" t="s">
        <v>34</v>
      </c>
      <c r="S23" s="403">
        <f>+CANTIDADES!H149</f>
        <v>2.8079999999999998</v>
      </c>
      <c r="T23" s="328">
        <f>+'APU FORMATO'!F378</f>
        <v>199915.32250000001</v>
      </c>
      <c r="U23" s="404">
        <f t="shared" si="4"/>
        <v>561362</v>
      </c>
      <c r="V23" s="96"/>
    </row>
    <row r="24" spans="1:22" x14ac:dyDescent="0.2">
      <c r="A24" s="295">
        <v>3.1</v>
      </c>
      <c r="B24" s="300" t="s">
        <v>877</v>
      </c>
      <c r="C24" s="98" t="s">
        <v>42</v>
      </c>
      <c r="D24" s="98">
        <v>20.54</v>
      </c>
      <c r="E24" s="13">
        <v>627013.58687500004</v>
      </c>
      <c r="F24" s="95">
        <f t="shared" si="5"/>
        <v>12878859.0744125</v>
      </c>
      <c r="G24" s="354"/>
      <c r="H24" s="295">
        <v>3.1</v>
      </c>
      <c r="I24" s="300" t="s">
        <v>877</v>
      </c>
      <c r="J24" s="98" t="s">
        <v>42</v>
      </c>
      <c r="K24" s="98">
        <f>+CANTIDADES!H152</f>
        <v>20.54</v>
      </c>
      <c r="L24" s="13">
        <f>+'APU FORMATO'!F399</f>
        <v>627013.58687500004</v>
      </c>
      <c r="M24" s="95">
        <f t="shared" si="6"/>
        <v>12878859.0744125</v>
      </c>
      <c r="P24" s="411">
        <v>3.1</v>
      </c>
      <c r="Q24" s="402" t="s">
        <v>877</v>
      </c>
      <c r="R24" s="403" t="s">
        <v>42</v>
      </c>
      <c r="S24" s="403">
        <f>+CANTIDADES!H152</f>
        <v>20.54</v>
      </c>
      <c r="T24" s="328">
        <f>+'APU FORMATO'!F399</f>
        <v>627013.58687500004</v>
      </c>
      <c r="U24" s="404">
        <f t="shared" si="4"/>
        <v>12878859</v>
      </c>
      <c r="V24" s="96"/>
    </row>
    <row r="25" spans="1:22" x14ac:dyDescent="0.2">
      <c r="A25" s="295">
        <v>3.11</v>
      </c>
      <c r="B25" s="300" t="s">
        <v>878</v>
      </c>
      <c r="C25" s="98" t="s">
        <v>34</v>
      </c>
      <c r="D25" s="98">
        <v>13.64</v>
      </c>
      <c r="E25" s="13">
        <v>218671.14617499997</v>
      </c>
      <c r="F25" s="95">
        <f>E25*D25</f>
        <v>2982674.4338269997</v>
      </c>
      <c r="G25" s="354"/>
      <c r="H25" s="295">
        <v>3.11</v>
      </c>
      <c r="I25" s="300" t="s">
        <v>878</v>
      </c>
      <c r="J25" s="98" t="s">
        <v>34</v>
      </c>
      <c r="K25" s="346">
        <f>+CANTIDADES!H155</f>
        <v>13.64</v>
      </c>
      <c r="L25" s="13">
        <f>+'APU FORMATO'!F420</f>
        <v>153216.29027500001</v>
      </c>
      <c r="M25" s="95">
        <f>L25*K25</f>
        <v>2089870.1993510001</v>
      </c>
      <c r="N25" s="1" t="s">
        <v>454</v>
      </c>
      <c r="P25" s="411">
        <v>3.11</v>
      </c>
      <c r="Q25" s="402" t="s">
        <v>878</v>
      </c>
      <c r="R25" s="403" t="s">
        <v>34</v>
      </c>
      <c r="S25" s="327">
        <f>+CANTIDADES!H155</f>
        <v>13.64</v>
      </c>
      <c r="T25" s="328">
        <f>+'APU FORMATO'!F420</f>
        <v>153216.29027500001</v>
      </c>
      <c r="U25" s="404">
        <f t="shared" si="4"/>
        <v>2089870</v>
      </c>
      <c r="V25" s="96">
        <f>2.7*2.4*2</f>
        <v>12.96</v>
      </c>
    </row>
    <row r="26" spans="1:22" s="96" customFormat="1" x14ac:dyDescent="0.2">
      <c r="A26" s="295">
        <v>3.12</v>
      </c>
      <c r="B26" s="300" t="s">
        <v>879</v>
      </c>
      <c r="C26" s="98" t="s">
        <v>42</v>
      </c>
      <c r="D26" s="161">
        <v>25.3879175</v>
      </c>
      <c r="E26" s="13">
        <v>622815.19062500005</v>
      </c>
      <c r="F26" s="95">
        <f>+D26*E26</f>
        <v>15811980.677334275</v>
      </c>
      <c r="G26" s="354"/>
      <c r="H26" s="295">
        <v>3.12</v>
      </c>
      <c r="I26" s="300" t="s">
        <v>879</v>
      </c>
      <c r="J26" s="98" t="s">
        <v>42</v>
      </c>
      <c r="K26" s="350">
        <f>+CANTIDADES!H171</f>
        <v>25.3879175</v>
      </c>
      <c r="L26" s="13">
        <f>+'APU FORMATO'!F442</f>
        <v>622815.19062500005</v>
      </c>
      <c r="M26" s="95">
        <f>+K26*L26</f>
        <v>15811980.677334275</v>
      </c>
      <c r="N26" s="96" t="s">
        <v>454</v>
      </c>
      <c r="P26" s="411">
        <v>3.12</v>
      </c>
      <c r="Q26" s="402" t="s">
        <v>879</v>
      </c>
      <c r="R26" s="403" t="s">
        <v>42</v>
      </c>
      <c r="S26" s="412">
        <f>+CANTIDADES!H171</f>
        <v>25.3879175</v>
      </c>
      <c r="T26" s="328">
        <f>+'APU FORMATO'!F442</f>
        <v>622815.19062500005</v>
      </c>
      <c r="U26" s="404">
        <f t="shared" si="4"/>
        <v>15811981</v>
      </c>
    </row>
    <row r="27" spans="1:22" x14ac:dyDescent="0.2">
      <c r="A27" s="294">
        <v>4</v>
      </c>
      <c r="B27" s="301" t="s">
        <v>17</v>
      </c>
      <c r="C27" s="7"/>
      <c r="D27" s="7"/>
      <c r="E27" s="7"/>
      <c r="F27" s="69"/>
      <c r="G27" s="354"/>
      <c r="H27" s="294">
        <v>4</v>
      </c>
      <c r="I27" s="301" t="s">
        <v>17</v>
      </c>
      <c r="J27" s="7"/>
      <c r="K27" s="7"/>
      <c r="L27" s="7"/>
      <c r="M27" s="69"/>
      <c r="P27" s="410">
        <v>4</v>
      </c>
      <c r="Q27" s="405" t="s">
        <v>17</v>
      </c>
      <c r="R27" s="406"/>
      <c r="S27" s="406"/>
      <c r="T27" s="406"/>
      <c r="U27" s="407"/>
      <c r="V27" s="96"/>
    </row>
    <row r="28" spans="1:22" x14ac:dyDescent="0.2">
      <c r="A28" s="293">
        <v>4.0999999999999996</v>
      </c>
      <c r="B28" s="302" t="s">
        <v>172</v>
      </c>
      <c r="C28" s="98" t="s">
        <v>43</v>
      </c>
      <c r="D28" s="346">
        <v>4559.92</v>
      </c>
      <c r="E28" s="13">
        <v>3436.197975</v>
      </c>
      <c r="F28" s="95">
        <f>E28*D28</f>
        <v>15668787.870162001</v>
      </c>
      <c r="G28" s="354"/>
      <c r="H28" s="293">
        <v>4.0999999999999996</v>
      </c>
      <c r="I28" s="302" t="s">
        <v>172</v>
      </c>
      <c r="J28" s="98" t="s">
        <v>43</v>
      </c>
      <c r="K28" s="346">
        <f>1200*42.18/11.7</f>
        <v>4326.1538461538466</v>
      </c>
      <c r="L28" s="13">
        <f>+'APU FORMATO'!F467</f>
        <v>3436.197975</v>
      </c>
      <c r="M28" s="95">
        <f>L28*K28</f>
        <v>14865521.085692309</v>
      </c>
      <c r="P28" s="408">
        <v>4.0999999999999996</v>
      </c>
      <c r="Q28" s="413" t="s">
        <v>172</v>
      </c>
      <c r="R28" s="403" t="s">
        <v>43</v>
      </c>
      <c r="S28" s="327">
        <f>+D28</f>
        <v>4559.92</v>
      </c>
      <c r="T28" s="328">
        <f>+'APU FORMATO'!F467</f>
        <v>3436.197975</v>
      </c>
      <c r="U28" s="404">
        <f t="shared" si="4"/>
        <v>15668788</v>
      </c>
      <c r="V28" s="96"/>
    </row>
    <row r="29" spans="1:22" x14ac:dyDescent="0.2">
      <c r="A29" s="293">
        <v>4.2</v>
      </c>
      <c r="B29" s="300" t="s">
        <v>18</v>
      </c>
      <c r="C29" s="98" t="s">
        <v>43</v>
      </c>
      <c r="D29" s="346">
        <v>11848.52</v>
      </c>
      <c r="E29" s="13">
        <v>3982.2396250000002</v>
      </c>
      <c r="F29" s="95">
        <f>E29*D29</f>
        <v>47183645.841605</v>
      </c>
      <c r="G29" s="354"/>
      <c r="H29" s="293">
        <v>4.2</v>
      </c>
      <c r="I29" s="300" t="s">
        <v>18</v>
      </c>
      <c r="J29" s="98" t="s">
        <v>43</v>
      </c>
      <c r="K29" s="98">
        <f>+CANTIDADES!H185</f>
        <v>11038.52</v>
      </c>
      <c r="L29" s="13">
        <f>+'APU FORMATO'!F488</f>
        <v>3982.2396250000002</v>
      </c>
      <c r="M29" s="95">
        <f>L29*K29</f>
        <v>43958031.745355003</v>
      </c>
      <c r="N29" s="1" t="s">
        <v>899</v>
      </c>
      <c r="P29" s="408">
        <v>4.2</v>
      </c>
      <c r="Q29" s="402" t="s">
        <v>18</v>
      </c>
      <c r="R29" s="403" t="s">
        <v>43</v>
      </c>
      <c r="S29" s="403">
        <f>+CANTIDADES!H185</f>
        <v>11038.52</v>
      </c>
      <c r="T29" s="328">
        <f>+'APU FORMATO'!F488</f>
        <v>3982.2396250000002</v>
      </c>
      <c r="U29" s="404">
        <f t="shared" si="4"/>
        <v>43958032</v>
      </c>
      <c r="V29" s="96"/>
    </row>
    <row r="30" spans="1:22" x14ac:dyDescent="0.2">
      <c r="A30" s="294">
        <v>5</v>
      </c>
      <c r="B30" s="301" t="s">
        <v>19</v>
      </c>
      <c r="C30" s="7"/>
      <c r="D30" s="7"/>
      <c r="E30" s="7"/>
      <c r="F30" s="69"/>
      <c r="G30" s="354"/>
      <c r="H30" s="294">
        <v>5</v>
      </c>
      <c r="I30" s="301" t="s">
        <v>19</v>
      </c>
      <c r="J30" s="7"/>
      <c r="K30" s="7"/>
      <c r="L30" s="7"/>
      <c r="M30" s="69"/>
      <c r="P30" s="410">
        <v>5</v>
      </c>
      <c r="Q30" s="405" t="s">
        <v>19</v>
      </c>
      <c r="R30" s="406"/>
      <c r="S30" s="406"/>
      <c r="T30" s="406"/>
      <c r="U30" s="407"/>
      <c r="V30" s="96"/>
    </row>
    <row r="31" spans="1:22" ht="25.5" x14ac:dyDescent="0.2">
      <c r="A31" s="293">
        <v>5.0999999999999996</v>
      </c>
      <c r="B31" s="300" t="s">
        <v>20</v>
      </c>
      <c r="C31" s="98" t="s">
        <v>34</v>
      </c>
      <c r="D31" s="98">
        <v>69.664999999999992</v>
      </c>
      <c r="E31" s="13">
        <v>79237.79448977724</v>
      </c>
      <c r="F31" s="95">
        <f>E31*D31</f>
        <v>5520100.9531303309</v>
      </c>
      <c r="G31" s="354"/>
      <c r="H31" s="293">
        <v>5.0999999999999996</v>
      </c>
      <c r="I31" s="300" t="s">
        <v>20</v>
      </c>
      <c r="J31" s="98" t="s">
        <v>34</v>
      </c>
      <c r="K31" s="346">
        <f>+CANTIDADES!H192</f>
        <v>245.71359999999999</v>
      </c>
      <c r="L31" s="13">
        <f>+'APU FORMATO'!F509</f>
        <v>76390.640018232516</v>
      </c>
      <c r="M31" s="95">
        <f>L31*K31</f>
        <v>18770219.165183976</v>
      </c>
      <c r="N31" s="1" t="s">
        <v>900</v>
      </c>
      <c r="P31" s="408">
        <v>5.0999999999999996</v>
      </c>
      <c r="Q31" s="402" t="s">
        <v>20</v>
      </c>
      <c r="R31" s="403" t="s">
        <v>34</v>
      </c>
      <c r="S31" s="327">
        <f>+CANTIDADES!H192</f>
        <v>245.71359999999999</v>
      </c>
      <c r="T31" s="328">
        <f>+'APU FORMATO'!F509</f>
        <v>76390.640018232516</v>
      </c>
      <c r="U31" s="404">
        <f t="shared" si="4"/>
        <v>18770219</v>
      </c>
      <c r="V31" s="96"/>
    </row>
    <row r="32" spans="1:22" ht="25.5" x14ac:dyDescent="0.2">
      <c r="A32" s="293">
        <v>5.2</v>
      </c>
      <c r="B32" s="300" t="s">
        <v>21</v>
      </c>
      <c r="C32" s="98" t="s">
        <v>34</v>
      </c>
      <c r="D32" s="98">
        <v>175.64999999999998</v>
      </c>
      <c r="E32" s="13">
        <v>79237.79448977724</v>
      </c>
      <c r="F32" s="95">
        <f>E32*D32</f>
        <v>13918118.60212937</v>
      </c>
      <c r="G32" s="354"/>
      <c r="H32" s="293">
        <v>5.2</v>
      </c>
      <c r="I32" s="300" t="s">
        <v>21</v>
      </c>
      <c r="J32" s="98" t="s">
        <v>34</v>
      </c>
      <c r="K32" s="346">
        <f>+CANTIDADES!H195</f>
        <v>175.64999999999998</v>
      </c>
      <c r="L32" s="13">
        <f>+'APU FORMATO'!F509</f>
        <v>76390.640018232516</v>
      </c>
      <c r="M32" s="95">
        <f>L32*K32</f>
        <v>13418015.91920254</v>
      </c>
      <c r="N32" s="96" t="s">
        <v>900</v>
      </c>
      <c r="P32" s="408">
        <v>5.2</v>
      </c>
      <c r="Q32" s="402" t="s">
        <v>21</v>
      </c>
      <c r="R32" s="403" t="s">
        <v>34</v>
      </c>
      <c r="S32" s="327">
        <f>+CANTIDADES!H195</f>
        <v>175.64999999999998</v>
      </c>
      <c r="T32" s="328">
        <f>+'APU FORMATO'!F509</f>
        <v>76390.640018232516</v>
      </c>
      <c r="U32" s="404">
        <f t="shared" si="4"/>
        <v>13418016</v>
      </c>
      <c r="V32" s="96"/>
    </row>
    <row r="33" spans="1:22" s="96" customFormat="1" ht="25.5" x14ac:dyDescent="0.2">
      <c r="A33" s="293">
        <v>5.3</v>
      </c>
      <c r="B33" s="300" t="s">
        <v>63</v>
      </c>
      <c r="C33" s="98" t="s">
        <v>34</v>
      </c>
      <c r="D33" s="98">
        <v>34.64</v>
      </c>
      <c r="E33" s="13">
        <v>61578.815020000002</v>
      </c>
      <c r="F33" s="95">
        <f>E33*D33</f>
        <v>2133090.1522928001</v>
      </c>
      <c r="G33" s="354"/>
      <c r="H33" s="293">
        <v>5.3</v>
      </c>
      <c r="I33" s="300" t="s">
        <v>63</v>
      </c>
      <c r="J33" s="98" t="s">
        <v>34</v>
      </c>
      <c r="K33" s="346">
        <f>+CANTIDADES!H198</f>
        <v>34.64</v>
      </c>
      <c r="L33" s="13">
        <f>+'APU FORMATO'!F553</f>
        <v>61578.815020000002</v>
      </c>
      <c r="M33" s="95">
        <f>L33*K33</f>
        <v>2133090.1522928001</v>
      </c>
      <c r="N33" s="96" t="s">
        <v>900</v>
      </c>
      <c r="P33" s="408">
        <v>5.3</v>
      </c>
      <c r="Q33" s="402" t="s">
        <v>63</v>
      </c>
      <c r="R33" s="403" t="s">
        <v>34</v>
      </c>
      <c r="S33" s="327">
        <f>+CANTIDADES!H198</f>
        <v>34.64</v>
      </c>
      <c r="T33" s="328">
        <f>+'APU FORMATO'!F553</f>
        <v>61578.815020000002</v>
      </c>
      <c r="U33" s="404">
        <f t="shared" si="4"/>
        <v>2133090</v>
      </c>
    </row>
    <row r="34" spans="1:22" x14ac:dyDescent="0.2">
      <c r="A34" s="294">
        <v>6</v>
      </c>
      <c r="B34" s="301" t="s">
        <v>22</v>
      </c>
      <c r="C34" s="7"/>
      <c r="D34" s="7"/>
      <c r="E34" s="7"/>
      <c r="F34" s="69"/>
      <c r="G34" s="354"/>
      <c r="H34" s="294">
        <v>6</v>
      </c>
      <c r="I34" s="301" t="s">
        <v>22</v>
      </c>
      <c r="J34" s="7"/>
      <c r="K34" s="7"/>
      <c r="L34" s="7"/>
      <c r="M34" s="69"/>
      <c r="P34" s="410">
        <v>6</v>
      </c>
      <c r="Q34" s="405" t="s">
        <v>22</v>
      </c>
      <c r="R34" s="406"/>
      <c r="S34" s="406"/>
      <c r="T34" s="406"/>
      <c r="U34" s="407"/>
      <c r="V34" s="96"/>
    </row>
    <row r="35" spans="1:22" x14ac:dyDescent="0.2">
      <c r="A35" s="296">
        <v>6.1</v>
      </c>
      <c r="B35" s="303" t="s">
        <v>58</v>
      </c>
      <c r="C35" s="100" t="s">
        <v>43</v>
      </c>
      <c r="D35" s="100">
        <v>19814.63</v>
      </c>
      <c r="E35" s="13">
        <v>8271.1135637042244</v>
      </c>
      <c r="F35" s="73">
        <f t="shared" ref="F35:F37" si="7">E35*D35</f>
        <v>163889054.95278063</v>
      </c>
      <c r="G35" s="354"/>
      <c r="H35" s="296">
        <v>6.1</v>
      </c>
      <c r="I35" s="303" t="s">
        <v>58</v>
      </c>
      <c r="J35" s="100" t="s">
        <v>43</v>
      </c>
      <c r="K35" s="100">
        <f>+CANTIDADES!H200</f>
        <v>18814.63</v>
      </c>
      <c r="L35" s="349">
        <f>+'APU FORMATO'!F583</f>
        <v>8210.3854489030709</v>
      </c>
      <c r="M35" s="73">
        <f t="shared" ref="M35:M37" si="8">L35*K35</f>
        <v>154475364.37849519</v>
      </c>
      <c r="N35" s="1" t="s">
        <v>65</v>
      </c>
      <c r="P35" s="325">
        <v>6.1</v>
      </c>
      <c r="Q35" s="326" t="s">
        <v>58</v>
      </c>
      <c r="R35" s="327" t="s">
        <v>43</v>
      </c>
      <c r="S35" s="327">
        <f>+CANTIDADES!H200</f>
        <v>18814.63</v>
      </c>
      <c r="T35" s="400">
        <f>+'APU FORMATO'!F583</f>
        <v>8210.3854489030709</v>
      </c>
      <c r="U35" s="329">
        <f t="shared" si="4"/>
        <v>154475364</v>
      </c>
      <c r="V35" s="96" t="s">
        <v>65</v>
      </c>
    </row>
    <row r="36" spans="1:22" x14ac:dyDescent="0.2">
      <c r="A36" s="296">
        <v>6.2</v>
      </c>
      <c r="B36" s="303" t="s">
        <v>647</v>
      </c>
      <c r="C36" s="100" t="s">
        <v>34</v>
      </c>
      <c r="D36" s="100">
        <v>1300.5</v>
      </c>
      <c r="E36" s="56">
        <v>58980.12308936</v>
      </c>
      <c r="F36" s="73">
        <f t="shared" si="7"/>
        <v>76703650.077712685</v>
      </c>
      <c r="G36" s="354"/>
      <c r="H36" s="296">
        <v>6.2</v>
      </c>
      <c r="I36" s="303" t="s">
        <v>647</v>
      </c>
      <c r="J36" s="100" t="s">
        <v>34</v>
      </c>
      <c r="K36" s="100">
        <f>+CANTIDADES!H201</f>
        <v>1300.5</v>
      </c>
      <c r="L36" s="349">
        <f>+'APU FORMATO'!F605</f>
        <v>58980.12308936</v>
      </c>
      <c r="M36" s="73">
        <f t="shared" si="8"/>
        <v>76703650.077712685</v>
      </c>
      <c r="P36" s="325">
        <v>6.2</v>
      </c>
      <c r="Q36" s="326" t="s">
        <v>647</v>
      </c>
      <c r="R36" s="327" t="s">
        <v>34</v>
      </c>
      <c r="S36" s="327">
        <f>+CANTIDADES!H201</f>
        <v>1300.5</v>
      </c>
      <c r="T36" s="400">
        <f>+'APU FORMATO'!F605</f>
        <v>58980.12308936</v>
      </c>
      <c r="U36" s="329">
        <f t="shared" si="4"/>
        <v>76703650</v>
      </c>
      <c r="V36" s="96"/>
    </row>
    <row r="37" spans="1:22" s="96" customFormat="1" x14ac:dyDescent="0.2">
      <c r="A37" s="296">
        <v>6.3</v>
      </c>
      <c r="B37" s="303" t="s">
        <v>550</v>
      </c>
      <c r="C37" s="100" t="s">
        <v>41</v>
      </c>
      <c r="D37" s="100">
        <v>34</v>
      </c>
      <c r="E37" s="56">
        <v>43285.899799999999</v>
      </c>
      <c r="F37" s="73">
        <f t="shared" si="7"/>
        <v>1471720.5932</v>
      </c>
      <c r="G37" s="354"/>
      <c r="H37" s="296">
        <v>6.3</v>
      </c>
      <c r="I37" s="303" t="s">
        <v>550</v>
      </c>
      <c r="J37" s="100" t="s">
        <v>41</v>
      </c>
      <c r="K37" s="100">
        <f>+CANTIDADES!H202</f>
        <v>34</v>
      </c>
      <c r="L37" s="56">
        <f>+'APU FORMATO'!F627</f>
        <v>43285.899799999999</v>
      </c>
      <c r="M37" s="73">
        <f t="shared" si="8"/>
        <v>1471720.5932</v>
      </c>
      <c r="P37" s="325">
        <v>6.3</v>
      </c>
      <c r="Q37" s="326" t="s">
        <v>550</v>
      </c>
      <c r="R37" s="327" t="s">
        <v>41</v>
      </c>
      <c r="S37" s="327">
        <f>+CANTIDADES!H202</f>
        <v>34</v>
      </c>
      <c r="T37" s="400">
        <f>+'APU FORMATO'!F627</f>
        <v>43285.899799999999</v>
      </c>
      <c r="U37" s="329">
        <f t="shared" si="4"/>
        <v>1471721</v>
      </c>
    </row>
    <row r="38" spans="1:22" x14ac:dyDescent="0.2">
      <c r="A38" s="294">
        <v>7</v>
      </c>
      <c r="B38" s="301" t="s">
        <v>23</v>
      </c>
      <c r="C38" s="7"/>
      <c r="D38" s="7"/>
      <c r="E38" s="7"/>
      <c r="F38" s="69"/>
      <c r="G38" s="354"/>
      <c r="H38" s="294">
        <v>7</v>
      </c>
      <c r="I38" s="301" t="s">
        <v>23</v>
      </c>
      <c r="J38" s="7"/>
      <c r="K38" s="7"/>
      <c r="L38" s="7"/>
      <c r="M38" s="69"/>
      <c r="P38" s="410">
        <v>7</v>
      </c>
      <c r="Q38" s="405" t="s">
        <v>23</v>
      </c>
      <c r="R38" s="406"/>
      <c r="S38" s="406"/>
      <c r="T38" s="406"/>
      <c r="U38" s="407"/>
      <c r="V38" s="96"/>
    </row>
    <row r="39" spans="1:22" ht="38.25" x14ac:dyDescent="0.2">
      <c r="A39" s="297">
        <v>7.14</v>
      </c>
      <c r="B39" s="303" t="s">
        <v>348</v>
      </c>
      <c r="C39" s="100" t="s">
        <v>41</v>
      </c>
      <c r="D39" s="100">
        <v>35</v>
      </c>
      <c r="E39" s="56">
        <v>84550</v>
      </c>
      <c r="F39" s="75">
        <f t="shared" ref="F39:F55" si="9">D39*E39</f>
        <v>2959250</v>
      </c>
      <c r="G39" s="354"/>
      <c r="H39" s="297">
        <v>7.14</v>
      </c>
      <c r="I39" s="303" t="s">
        <v>348</v>
      </c>
      <c r="J39" s="100" t="s">
        <v>41</v>
      </c>
      <c r="K39" s="100">
        <v>35</v>
      </c>
      <c r="L39" s="56">
        <v>84550</v>
      </c>
      <c r="M39" s="75">
        <f t="shared" ref="M39:M55" si="10">K39*L39</f>
        <v>2959250</v>
      </c>
      <c r="P39" s="414">
        <v>7.14</v>
      </c>
      <c r="Q39" s="326" t="s">
        <v>348</v>
      </c>
      <c r="R39" s="327" t="s">
        <v>41</v>
      </c>
      <c r="S39" s="327">
        <v>35</v>
      </c>
      <c r="T39" s="400">
        <v>84550</v>
      </c>
      <c r="U39" s="415">
        <f t="shared" si="4"/>
        <v>2959250</v>
      </c>
      <c r="V39" s="96"/>
    </row>
    <row r="40" spans="1:22" ht="25.5" x14ac:dyDescent="0.2">
      <c r="A40" s="297">
        <v>7.15</v>
      </c>
      <c r="B40" s="303" t="s">
        <v>349</v>
      </c>
      <c r="C40" s="100" t="s">
        <v>33</v>
      </c>
      <c r="D40" s="100">
        <v>1</v>
      </c>
      <c r="E40" s="56">
        <v>3200000</v>
      </c>
      <c r="F40" s="75">
        <f t="shared" si="9"/>
        <v>3200000</v>
      </c>
      <c r="G40" s="354"/>
      <c r="H40" s="297">
        <v>7.15</v>
      </c>
      <c r="I40" s="303" t="s">
        <v>349</v>
      </c>
      <c r="J40" s="100" t="s">
        <v>33</v>
      </c>
      <c r="K40" s="100">
        <v>1</v>
      </c>
      <c r="L40" s="349">
        <v>3200000</v>
      </c>
      <c r="M40" s="75">
        <f t="shared" si="10"/>
        <v>3200000</v>
      </c>
      <c r="N40" s="1" t="s">
        <v>901</v>
      </c>
      <c r="P40" s="414">
        <v>7.15</v>
      </c>
      <c r="Q40" s="326" t="s">
        <v>349</v>
      </c>
      <c r="R40" s="327" t="s">
        <v>33</v>
      </c>
      <c r="S40" s="327">
        <v>1</v>
      </c>
      <c r="T40" s="400">
        <v>900000</v>
      </c>
      <c r="U40" s="415">
        <f t="shared" si="4"/>
        <v>900000</v>
      </c>
      <c r="V40" s="96"/>
    </row>
    <row r="41" spans="1:22" ht="38.25" x14ac:dyDescent="0.2">
      <c r="A41" s="297">
        <v>7.16</v>
      </c>
      <c r="B41" s="303" t="s">
        <v>350</v>
      </c>
      <c r="C41" s="100" t="s">
        <v>33</v>
      </c>
      <c r="D41" s="100">
        <v>1</v>
      </c>
      <c r="E41" s="56">
        <v>805094</v>
      </c>
      <c r="F41" s="75">
        <f t="shared" si="9"/>
        <v>805094</v>
      </c>
      <c r="G41" s="354"/>
      <c r="H41" s="297">
        <v>7.16</v>
      </c>
      <c r="I41" s="303" t="s">
        <v>350</v>
      </c>
      <c r="J41" s="100" t="s">
        <v>33</v>
      </c>
      <c r="K41" s="100">
        <v>1</v>
      </c>
      <c r="L41" s="56">
        <v>805094</v>
      </c>
      <c r="M41" s="75">
        <f t="shared" si="10"/>
        <v>805094</v>
      </c>
      <c r="P41" s="414">
        <v>7.16</v>
      </c>
      <c r="Q41" s="326" t="s">
        <v>350</v>
      </c>
      <c r="R41" s="327" t="s">
        <v>33</v>
      </c>
      <c r="S41" s="327">
        <v>1</v>
      </c>
      <c r="T41" s="400">
        <v>805094</v>
      </c>
      <c r="U41" s="415">
        <f t="shared" si="4"/>
        <v>805094</v>
      </c>
      <c r="V41" s="96"/>
    </row>
    <row r="42" spans="1:22" ht="25.5" x14ac:dyDescent="0.2">
      <c r="A42" s="297">
        <v>7.17</v>
      </c>
      <c r="B42" s="303" t="s">
        <v>351</v>
      </c>
      <c r="C42" s="100" t="s">
        <v>33</v>
      </c>
      <c r="D42" s="100">
        <v>1</v>
      </c>
      <c r="E42" s="56">
        <v>138360</v>
      </c>
      <c r="F42" s="75">
        <f t="shared" si="9"/>
        <v>138360</v>
      </c>
      <c r="G42" s="354"/>
      <c r="H42" s="297">
        <v>7.17</v>
      </c>
      <c r="I42" s="303" t="s">
        <v>351</v>
      </c>
      <c r="J42" s="100" t="s">
        <v>33</v>
      </c>
      <c r="K42" s="100">
        <v>1</v>
      </c>
      <c r="L42" s="56">
        <v>138360</v>
      </c>
      <c r="M42" s="75">
        <f t="shared" si="10"/>
        <v>138360</v>
      </c>
      <c r="P42" s="414">
        <v>7.17</v>
      </c>
      <c r="Q42" s="326" t="s">
        <v>351</v>
      </c>
      <c r="R42" s="327" t="s">
        <v>33</v>
      </c>
      <c r="S42" s="327">
        <v>1</v>
      </c>
      <c r="T42" s="400">
        <v>138360</v>
      </c>
      <c r="U42" s="415">
        <f t="shared" si="4"/>
        <v>138360</v>
      </c>
      <c r="V42" s="96"/>
    </row>
    <row r="43" spans="1:22" ht="38.25" x14ac:dyDescent="0.2">
      <c r="A43" s="297">
        <v>7.1800000000000104</v>
      </c>
      <c r="B43" s="326" t="s">
        <v>352</v>
      </c>
      <c r="C43" s="100" t="s">
        <v>33</v>
      </c>
      <c r="D43" s="100">
        <v>12</v>
      </c>
      <c r="E43" s="56">
        <v>1659352</v>
      </c>
      <c r="F43" s="75">
        <f t="shared" si="9"/>
        <v>19912224</v>
      </c>
      <c r="G43" s="354"/>
      <c r="H43" s="297">
        <v>7.1800000000000104</v>
      </c>
      <c r="I43" s="326" t="s">
        <v>352</v>
      </c>
      <c r="J43" s="100" t="s">
        <v>33</v>
      </c>
      <c r="K43" s="100">
        <v>12</v>
      </c>
      <c r="L43" s="349">
        <v>1659352</v>
      </c>
      <c r="M43" s="75">
        <f t="shared" si="10"/>
        <v>19912224</v>
      </c>
      <c r="N43" s="1" t="s">
        <v>901</v>
      </c>
      <c r="P43" s="414">
        <v>7.1800000000000104</v>
      </c>
      <c r="Q43" s="388" t="s">
        <v>923</v>
      </c>
      <c r="R43" s="327" t="s">
        <v>33</v>
      </c>
      <c r="S43" s="327">
        <v>12</v>
      </c>
      <c r="T43" s="400">
        <f>1259352-527000</f>
        <v>732352</v>
      </c>
      <c r="U43" s="415">
        <f t="shared" si="4"/>
        <v>8788224</v>
      </c>
      <c r="V43" s="96"/>
    </row>
    <row r="44" spans="1:22" ht="38.25" x14ac:dyDescent="0.2">
      <c r="A44" s="297">
        <v>7.1900000000000102</v>
      </c>
      <c r="B44" s="303" t="s">
        <v>353</v>
      </c>
      <c r="C44" s="100" t="s">
        <v>33</v>
      </c>
      <c r="D44" s="100">
        <v>23</v>
      </c>
      <c r="E44" s="56">
        <v>123746</v>
      </c>
      <c r="F44" s="75">
        <f t="shared" si="9"/>
        <v>2846158</v>
      </c>
      <c r="G44" s="354"/>
      <c r="H44" s="297">
        <v>7.1900000000000102</v>
      </c>
      <c r="I44" s="348" t="s">
        <v>353</v>
      </c>
      <c r="J44" s="100" t="s">
        <v>33</v>
      </c>
      <c r="K44" s="100">
        <v>23</v>
      </c>
      <c r="L44" s="56">
        <v>123746</v>
      </c>
      <c r="M44" s="75">
        <f t="shared" si="10"/>
        <v>2846158</v>
      </c>
      <c r="P44" s="414">
        <v>7.1900000000000102</v>
      </c>
      <c r="Q44" s="326" t="s">
        <v>353</v>
      </c>
      <c r="R44" s="327" t="s">
        <v>33</v>
      </c>
      <c r="S44" s="327">
        <v>23</v>
      </c>
      <c r="T44" s="400">
        <v>123746</v>
      </c>
      <c r="U44" s="415">
        <f t="shared" si="4"/>
        <v>2846158</v>
      </c>
      <c r="V44" s="96"/>
    </row>
    <row r="45" spans="1:22" ht="25.5" x14ac:dyDescent="0.2">
      <c r="A45" s="297">
        <v>7.2000000000000099</v>
      </c>
      <c r="B45" s="303" t="s">
        <v>354</v>
      </c>
      <c r="C45" s="100" t="s">
        <v>33</v>
      </c>
      <c r="D45" s="100">
        <v>19</v>
      </c>
      <c r="E45" s="56">
        <v>119145</v>
      </c>
      <c r="F45" s="75">
        <f t="shared" si="9"/>
        <v>2263755</v>
      </c>
      <c r="G45" s="354"/>
      <c r="H45" s="297">
        <v>7.2000000000000099</v>
      </c>
      <c r="I45" s="303" t="s">
        <v>354</v>
      </c>
      <c r="J45" s="100" t="s">
        <v>33</v>
      </c>
      <c r="K45" s="100">
        <v>19</v>
      </c>
      <c r="L45" s="56">
        <v>119145</v>
      </c>
      <c r="M45" s="75">
        <f t="shared" si="10"/>
        <v>2263755</v>
      </c>
      <c r="N45" s="1" t="s">
        <v>901</v>
      </c>
      <c r="P45" s="414">
        <v>7.2000000000000099</v>
      </c>
      <c r="Q45" s="326" t="s">
        <v>354</v>
      </c>
      <c r="R45" s="327" t="s">
        <v>33</v>
      </c>
      <c r="S45" s="327">
        <v>19</v>
      </c>
      <c r="T45" s="400">
        <f>119145-40000</f>
        <v>79145</v>
      </c>
      <c r="U45" s="415">
        <f t="shared" si="4"/>
        <v>1503755</v>
      </c>
      <c r="V45" s="96" t="s">
        <v>901</v>
      </c>
    </row>
    <row r="46" spans="1:22" x14ac:dyDescent="0.2">
      <c r="A46" s="297">
        <v>7.2100000000000097</v>
      </c>
      <c r="B46" s="303" t="s">
        <v>355</v>
      </c>
      <c r="C46" s="100" t="s">
        <v>33</v>
      </c>
      <c r="D46" s="100">
        <v>10</v>
      </c>
      <c r="E46" s="56">
        <v>50090</v>
      </c>
      <c r="F46" s="75">
        <f t="shared" si="9"/>
        <v>500900</v>
      </c>
      <c r="G46" s="354"/>
      <c r="H46" s="297">
        <v>7.2100000000000097</v>
      </c>
      <c r="I46" s="303" t="s">
        <v>355</v>
      </c>
      <c r="J46" s="100" t="s">
        <v>33</v>
      </c>
      <c r="K46" s="100">
        <v>10</v>
      </c>
      <c r="L46" s="56">
        <v>50090</v>
      </c>
      <c r="M46" s="75">
        <f t="shared" si="10"/>
        <v>500900</v>
      </c>
      <c r="P46" s="414">
        <v>7.2100000000000097</v>
      </c>
      <c r="Q46" s="326" t="s">
        <v>355</v>
      </c>
      <c r="R46" s="327" t="s">
        <v>33</v>
      </c>
      <c r="S46" s="327">
        <v>10</v>
      </c>
      <c r="T46" s="400">
        <v>50090</v>
      </c>
      <c r="U46" s="415">
        <f t="shared" si="4"/>
        <v>500900</v>
      </c>
      <c r="V46" s="96"/>
    </row>
    <row r="47" spans="1:22" x14ac:dyDescent="0.2">
      <c r="A47" s="297">
        <v>7.2200000000000104</v>
      </c>
      <c r="B47" s="303" t="s">
        <v>356</v>
      </c>
      <c r="C47" s="100" t="s">
        <v>33</v>
      </c>
      <c r="D47" s="100">
        <v>3</v>
      </c>
      <c r="E47" s="56">
        <v>50637</v>
      </c>
      <c r="F47" s="75">
        <f t="shared" si="9"/>
        <v>151911</v>
      </c>
      <c r="G47" s="354"/>
      <c r="H47" s="297">
        <v>7.2200000000000104</v>
      </c>
      <c r="I47" s="303" t="s">
        <v>356</v>
      </c>
      <c r="J47" s="100" t="s">
        <v>33</v>
      </c>
      <c r="K47" s="100">
        <v>3</v>
      </c>
      <c r="L47" s="56">
        <v>50637</v>
      </c>
      <c r="M47" s="75">
        <f t="shared" si="10"/>
        <v>151911</v>
      </c>
      <c r="P47" s="414">
        <v>7.2200000000000104</v>
      </c>
      <c r="Q47" s="326" t="s">
        <v>356</v>
      </c>
      <c r="R47" s="327" t="s">
        <v>33</v>
      </c>
      <c r="S47" s="327">
        <v>3</v>
      </c>
      <c r="T47" s="400">
        <v>50637</v>
      </c>
      <c r="U47" s="415">
        <f t="shared" si="4"/>
        <v>151911</v>
      </c>
      <c r="V47" s="96"/>
    </row>
    <row r="48" spans="1:22" ht="25.5" x14ac:dyDescent="0.2">
      <c r="A48" s="297">
        <v>7.2300000000000102</v>
      </c>
      <c r="B48" s="303" t="s">
        <v>696</v>
      </c>
      <c r="C48" s="100" t="s">
        <v>33</v>
      </c>
      <c r="D48" s="100">
        <v>9</v>
      </c>
      <c r="E48" s="56">
        <v>302364</v>
      </c>
      <c r="F48" s="75">
        <f t="shared" si="9"/>
        <v>2721276</v>
      </c>
      <c r="G48" s="354"/>
      <c r="H48" s="297">
        <v>7.2300000000000102</v>
      </c>
      <c r="I48" s="303" t="s">
        <v>696</v>
      </c>
      <c r="J48" s="100" t="s">
        <v>33</v>
      </c>
      <c r="K48" s="100">
        <v>9</v>
      </c>
      <c r="L48" s="56">
        <v>302364</v>
      </c>
      <c r="M48" s="75">
        <f t="shared" si="10"/>
        <v>2721276</v>
      </c>
      <c r="P48" s="414">
        <v>7.2300000000000102</v>
      </c>
      <c r="Q48" s="326" t="s">
        <v>696</v>
      </c>
      <c r="R48" s="327" t="s">
        <v>33</v>
      </c>
      <c r="S48" s="327">
        <v>9</v>
      </c>
      <c r="T48" s="400">
        <f>302364-100000</f>
        <v>202364</v>
      </c>
      <c r="U48" s="415">
        <f t="shared" si="4"/>
        <v>1821276</v>
      </c>
      <c r="V48" s="96"/>
    </row>
    <row r="49" spans="1:22" ht="25.5" x14ac:dyDescent="0.2">
      <c r="A49" s="297">
        <v>7.24000000000001</v>
      </c>
      <c r="B49" s="303" t="s">
        <v>697</v>
      </c>
      <c r="C49" s="100" t="s">
        <v>33</v>
      </c>
      <c r="D49" s="100">
        <v>2</v>
      </c>
      <c r="E49" s="56">
        <v>305257</v>
      </c>
      <c r="F49" s="75">
        <f t="shared" si="9"/>
        <v>610514</v>
      </c>
      <c r="G49" s="354"/>
      <c r="H49" s="297">
        <v>7.24000000000001</v>
      </c>
      <c r="I49" s="348" t="s">
        <v>697</v>
      </c>
      <c r="J49" s="346" t="s">
        <v>33</v>
      </c>
      <c r="K49" s="346">
        <v>2</v>
      </c>
      <c r="L49" s="349">
        <v>305257</v>
      </c>
      <c r="M49" s="351">
        <f t="shared" si="10"/>
        <v>610514</v>
      </c>
      <c r="N49" s="1" t="s">
        <v>902</v>
      </c>
      <c r="P49" s="414">
        <v>7.24000000000001</v>
      </c>
      <c r="Q49" s="326" t="s">
        <v>697</v>
      </c>
      <c r="R49" s="327" t="s">
        <v>33</v>
      </c>
      <c r="S49" s="327">
        <v>2</v>
      </c>
      <c r="T49" s="400">
        <v>305257</v>
      </c>
      <c r="U49" s="415">
        <f t="shared" si="4"/>
        <v>610514</v>
      </c>
      <c r="V49" s="96" t="s">
        <v>924</v>
      </c>
    </row>
    <row r="50" spans="1:22" ht="25.5" x14ac:dyDescent="0.2">
      <c r="A50" s="297">
        <v>7.2500000000000098</v>
      </c>
      <c r="B50" s="303" t="s">
        <v>357</v>
      </c>
      <c r="C50" s="100" t="s">
        <v>33</v>
      </c>
      <c r="D50" s="100">
        <v>1</v>
      </c>
      <c r="E50" s="56">
        <v>58683</v>
      </c>
      <c r="F50" s="75">
        <f t="shared" si="9"/>
        <v>58683</v>
      </c>
      <c r="G50" s="354"/>
      <c r="H50" s="297">
        <v>7.2500000000000098</v>
      </c>
      <c r="I50" s="303" t="s">
        <v>357</v>
      </c>
      <c r="J50" s="100" t="s">
        <v>33</v>
      </c>
      <c r="K50" s="100">
        <v>1</v>
      </c>
      <c r="L50" s="56">
        <v>58683</v>
      </c>
      <c r="M50" s="75">
        <f t="shared" si="10"/>
        <v>58683</v>
      </c>
      <c r="N50" s="1" t="s">
        <v>902</v>
      </c>
      <c r="P50" s="414">
        <v>7.2500000000000098</v>
      </c>
      <c r="Q50" s="326" t="s">
        <v>357</v>
      </c>
      <c r="R50" s="327" t="s">
        <v>33</v>
      </c>
      <c r="S50" s="327">
        <v>1</v>
      </c>
      <c r="T50" s="400">
        <v>58683</v>
      </c>
      <c r="U50" s="415">
        <f t="shared" si="4"/>
        <v>58683</v>
      </c>
      <c r="V50" s="96" t="s">
        <v>902</v>
      </c>
    </row>
    <row r="51" spans="1:22" ht="38.25" x14ac:dyDescent="0.2">
      <c r="A51" s="297">
        <v>7.2600000000000096</v>
      </c>
      <c r="B51" s="303" t="s">
        <v>795</v>
      </c>
      <c r="C51" s="100" t="s">
        <v>33</v>
      </c>
      <c r="D51" s="100">
        <v>50</v>
      </c>
      <c r="E51" s="56">
        <v>17984</v>
      </c>
      <c r="F51" s="75">
        <f t="shared" si="9"/>
        <v>899200</v>
      </c>
      <c r="G51" s="354"/>
      <c r="H51" s="297">
        <v>7.2600000000000096</v>
      </c>
      <c r="I51" s="303" t="s">
        <v>795</v>
      </c>
      <c r="J51" s="100" t="s">
        <v>33</v>
      </c>
      <c r="K51" s="100">
        <v>50</v>
      </c>
      <c r="L51" s="56">
        <v>17984</v>
      </c>
      <c r="M51" s="75">
        <f t="shared" si="10"/>
        <v>899200</v>
      </c>
      <c r="N51" s="1" t="s">
        <v>902</v>
      </c>
      <c r="P51" s="414">
        <v>7.2600000000000096</v>
      </c>
      <c r="Q51" s="326" t="s">
        <v>795</v>
      </c>
      <c r="R51" s="327" t="s">
        <v>33</v>
      </c>
      <c r="S51" s="327">
        <v>50</v>
      </c>
      <c r="T51" s="400">
        <v>17984</v>
      </c>
      <c r="U51" s="415">
        <f t="shared" si="4"/>
        <v>899200</v>
      </c>
      <c r="V51" s="96" t="s">
        <v>924</v>
      </c>
    </row>
    <row r="52" spans="1:22" x14ac:dyDescent="0.2">
      <c r="A52" s="297">
        <v>7.2700000000000102</v>
      </c>
      <c r="B52" s="303" t="s">
        <v>359</v>
      </c>
      <c r="C52" s="100" t="s">
        <v>33</v>
      </c>
      <c r="D52" s="100">
        <v>1</v>
      </c>
      <c r="E52" s="56">
        <v>210000</v>
      </c>
      <c r="F52" s="75">
        <f t="shared" si="9"/>
        <v>210000</v>
      </c>
      <c r="G52" s="354"/>
      <c r="H52" s="297">
        <v>7.2700000000000102</v>
      </c>
      <c r="I52" s="303" t="s">
        <v>359</v>
      </c>
      <c r="J52" s="100" t="s">
        <v>33</v>
      </c>
      <c r="K52" s="100">
        <v>1</v>
      </c>
      <c r="L52" s="56">
        <v>210000</v>
      </c>
      <c r="M52" s="377">
        <f t="shared" si="10"/>
        <v>210000</v>
      </c>
      <c r="P52" s="414">
        <v>7.2700000000000102</v>
      </c>
      <c r="Q52" s="326" t="s">
        <v>359</v>
      </c>
      <c r="R52" s="327" t="s">
        <v>33</v>
      </c>
      <c r="S52" s="327">
        <v>1</v>
      </c>
      <c r="T52" s="400">
        <v>210000</v>
      </c>
      <c r="U52" s="415">
        <f t="shared" si="4"/>
        <v>210000</v>
      </c>
      <c r="V52" s="96"/>
    </row>
    <row r="53" spans="1:22" ht="25.5" x14ac:dyDescent="0.2">
      <c r="A53" s="297">
        <v>7.28000000000001</v>
      </c>
      <c r="B53" s="303" t="s">
        <v>360</v>
      </c>
      <c r="C53" s="100" t="s">
        <v>33</v>
      </c>
      <c r="D53" s="100">
        <v>1</v>
      </c>
      <c r="E53" s="56">
        <v>600000</v>
      </c>
      <c r="F53" s="75">
        <f t="shared" si="9"/>
        <v>600000</v>
      </c>
      <c r="G53" s="354"/>
      <c r="H53" s="297">
        <v>7.28000000000001</v>
      </c>
      <c r="I53" s="303" t="s">
        <v>360</v>
      </c>
      <c r="J53" s="100" t="s">
        <v>33</v>
      </c>
      <c r="K53" s="100">
        <v>1</v>
      </c>
      <c r="L53" s="56">
        <v>600000</v>
      </c>
      <c r="M53" s="377">
        <f t="shared" si="10"/>
        <v>600000</v>
      </c>
      <c r="P53" s="414">
        <v>7.28000000000001</v>
      </c>
      <c r="Q53" s="326" t="s">
        <v>360</v>
      </c>
      <c r="R53" s="327" t="s">
        <v>33</v>
      </c>
      <c r="S53" s="327">
        <v>1</v>
      </c>
      <c r="T53" s="400">
        <v>600000</v>
      </c>
      <c r="U53" s="415">
        <f t="shared" si="4"/>
        <v>600000</v>
      </c>
      <c r="V53" s="96"/>
    </row>
    <row r="54" spans="1:22" ht="25.5" x14ac:dyDescent="0.2">
      <c r="A54" s="297">
        <v>7.2900000000000098</v>
      </c>
      <c r="B54" s="303" t="s">
        <v>361</v>
      </c>
      <c r="C54" s="100" t="s">
        <v>33</v>
      </c>
      <c r="D54" s="100">
        <v>1</v>
      </c>
      <c r="E54" s="56">
        <v>2500000</v>
      </c>
      <c r="F54" s="75">
        <f t="shared" si="9"/>
        <v>2500000</v>
      </c>
      <c r="G54" s="354"/>
      <c r="H54" s="297">
        <v>7.2900000000000098</v>
      </c>
      <c r="I54" s="303" t="s">
        <v>361</v>
      </c>
      <c r="J54" s="100" t="s">
        <v>33</v>
      </c>
      <c r="K54" s="100">
        <v>1</v>
      </c>
      <c r="L54" s="56">
        <v>2500000</v>
      </c>
      <c r="M54" s="377">
        <f t="shared" si="10"/>
        <v>2500000</v>
      </c>
      <c r="P54" s="414">
        <v>7.2900000000000098</v>
      </c>
      <c r="Q54" s="326" t="s">
        <v>361</v>
      </c>
      <c r="R54" s="327" t="s">
        <v>33</v>
      </c>
      <c r="S54" s="327">
        <v>1</v>
      </c>
      <c r="T54" s="400">
        <v>2500000</v>
      </c>
      <c r="U54" s="415">
        <f t="shared" si="4"/>
        <v>2500000</v>
      </c>
      <c r="V54" s="96"/>
    </row>
    <row r="55" spans="1:22" x14ac:dyDescent="0.2">
      <c r="A55" s="297">
        <v>7.3000000000000096</v>
      </c>
      <c r="B55" s="303" t="s">
        <v>362</v>
      </c>
      <c r="C55" s="100" t="s">
        <v>33</v>
      </c>
      <c r="D55" s="100">
        <v>1</v>
      </c>
      <c r="E55" s="56">
        <v>1500000</v>
      </c>
      <c r="F55" s="75">
        <f t="shared" si="9"/>
        <v>1500000</v>
      </c>
      <c r="G55" s="355"/>
      <c r="H55" s="297">
        <v>7.3000000000000096</v>
      </c>
      <c r="I55" s="303" t="s">
        <v>362</v>
      </c>
      <c r="J55" s="100" t="s">
        <v>33</v>
      </c>
      <c r="K55" s="100">
        <v>1</v>
      </c>
      <c r="L55" s="56">
        <v>1500000</v>
      </c>
      <c r="M55" s="377">
        <f t="shared" si="10"/>
        <v>1500000</v>
      </c>
      <c r="P55" s="414">
        <v>7.3000000000000096</v>
      </c>
      <c r="Q55" s="326" t="s">
        <v>362</v>
      </c>
      <c r="R55" s="327" t="s">
        <v>33</v>
      </c>
      <c r="S55" s="327">
        <v>1</v>
      </c>
      <c r="T55" s="400">
        <v>1500000</v>
      </c>
      <c r="U55" s="415">
        <f t="shared" si="4"/>
        <v>1500000</v>
      </c>
      <c r="V55" s="96"/>
    </row>
    <row r="56" spans="1:22" x14ac:dyDescent="0.2">
      <c r="A56" s="294">
        <v>8</v>
      </c>
      <c r="B56" s="301" t="s">
        <v>24</v>
      </c>
      <c r="C56" s="7"/>
      <c r="D56" s="7"/>
      <c r="E56" s="7"/>
      <c r="F56" s="69"/>
      <c r="G56" s="354"/>
      <c r="H56" s="294">
        <v>8</v>
      </c>
      <c r="I56" s="301" t="s">
        <v>24</v>
      </c>
      <c r="J56" s="7"/>
      <c r="K56" s="7"/>
      <c r="L56" s="7"/>
      <c r="M56" s="69"/>
      <c r="P56" s="410">
        <v>8</v>
      </c>
      <c r="Q56" s="405" t="s">
        <v>24</v>
      </c>
      <c r="R56" s="406"/>
      <c r="S56" s="406"/>
      <c r="T56" s="406"/>
      <c r="U56" s="407"/>
      <c r="V56" s="96"/>
    </row>
    <row r="57" spans="1:22" x14ac:dyDescent="0.2">
      <c r="A57" s="296">
        <v>8.1</v>
      </c>
      <c r="B57" s="303" t="s">
        <v>60</v>
      </c>
      <c r="C57" s="100" t="s">
        <v>33</v>
      </c>
      <c r="D57" s="100">
        <v>4</v>
      </c>
      <c r="E57" s="13">
        <v>401162.36754534498</v>
      </c>
      <c r="F57" s="73">
        <f>E57*D57</f>
        <v>1604649.4701813799</v>
      </c>
      <c r="G57" s="354"/>
      <c r="H57" s="296">
        <v>8.1</v>
      </c>
      <c r="I57" s="303" t="s">
        <v>60</v>
      </c>
      <c r="J57" s="100" t="s">
        <v>33</v>
      </c>
      <c r="K57" s="100">
        <f>+CANTIDADES!H206</f>
        <v>4</v>
      </c>
      <c r="L57" s="13">
        <f>+'APU FORMATO'!F653</f>
        <v>401162.36754534498</v>
      </c>
      <c r="M57" s="73">
        <f>L57*K57</f>
        <v>1604649.4701813799</v>
      </c>
      <c r="P57" s="325">
        <v>8.1</v>
      </c>
      <c r="Q57" s="326" t="s">
        <v>60</v>
      </c>
      <c r="R57" s="327" t="s">
        <v>33</v>
      </c>
      <c r="S57" s="327">
        <f>+CANTIDADES!H206</f>
        <v>4</v>
      </c>
      <c r="T57" s="328">
        <f>+'APU FORMATO'!F653</f>
        <v>401162.36754534498</v>
      </c>
      <c r="U57" s="329">
        <f t="shared" si="4"/>
        <v>1604649</v>
      </c>
      <c r="V57" s="96"/>
    </row>
    <row r="58" spans="1:22" ht="25.5" x14ac:dyDescent="0.2">
      <c r="A58" s="296">
        <v>8.1999999999999993</v>
      </c>
      <c r="B58" s="303" t="s">
        <v>59</v>
      </c>
      <c r="C58" s="100" t="s">
        <v>41</v>
      </c>
      <c r="D58" s="100">
        <v>103.77</v>
      </c>
      <c r="E58" s="13">
        <v>47999.284958186676</v>
      </c>
      <c r="F58" s="73">
        <f t="shared" ref="F58:F67" si="11">E58*D58</f>
        <v>4980885.8001110312</v>
      </c>
      <c r="G58" s="354"/>
      <c r="H58" s="296">
        <v>8.1999999999999993</v>
      </c>
      <c r="I58" s="303" t="s">
        <v>59</v>
      </c>
      <c r="J58" s="100" t="s">
        <v>41</v>
      </c>
      <c r="K58" s="100">
        <f>+CANTIDADES!H214</f>
        <v>103.77</v>
      </c>
      <c r="L58" s="13">
        <f>+'APU FORMATO'!F676</f>
        <v>47999.284958186676</v>
      </c>
      <c r="M58" s="73">
        <f t="shared" ref="M58:M69" si="12">L58*K58</f>
        <v>4980885.8001110312</v>
      </c>
      <c r="P58" s="325">
        <v>8.1999999999999993</v>
      </c>
      <c r="Q58" s="326" t="s">
        <v>59</v>
      </c>
      <c r="R58" s="327" t="s">
        <v>41</v>
      </c>
      <c r="S58" s="327">
        <f>+CANTIDADES!H214</f>
        <v>103.77</v>
      </c>
      <c r="T58" s="328">
        <f>+'APU FORMATO'!F676</f>
        <v>47999.284958186676</v>
      </c>
      <c r="U58" s="329">
        <f t="shared" si="4"/>
        <v>4980886</v>
      </c>
      <c r="V58" s="96"/>
    </row>
    <row r="59" spans="1:22" ht="25.5" x14ac:dyDescent="0.2">
      <c r="A59" s="296">
        <v>8.3000000000000007</v>
      </c>
      <c r="B59" s="303" t="s">
        <v>193</v>
      </c>
      <c r="C59" s="100" t="s">
        <v>55</v>
      </c>
      <c r="D59" s="100">
        <v>9</v>
      </c>
      <c r="E59" s="13">
        <v>72283.902183333339</v>
      </c>
      <c r="F59" s="73">
        <f t="shared" si="11"/>
        <v>650555.11965000001</v>
      </c>
      <c r="G59" s="354"/>
      <c r="H59" s="296">
        <v>8.3000000000000007</v>
      </c>
      <c r="I59" s="303" t="s">
        <v>193</v>
      </c>
      <c r="J59" s="100" t="s">
        <v>55</v>
      </c>
      <c r="K59" s="100">
        <f>+CANTIDADES!H218</f>
        <v>9</v>
      </c>
      <c r="L59" s="13">
        <f>+'APU FORMATO'!F701</f>
        <v>72283.902183333339</v>
      </c>
      <c r="M59" s="73">
        <f t="shared" si="12"/>
        <v>650555.11965000001</v>
      </c>
      <c r="P59" s="325">
        <v>8.3000000000000007</v>
      </c>
      <c r="Q59" s="326" t="s">
        <v>193</v>
      </c>
      <c r="R59" s="327" t="s">
        <v>55</v>
      </c>
      <c r="S59" s="327">
        <f>+CANTIDADES!H218</f>
        <v>9</v>
      </c>
      <c r="T59" s="328">
        <f>+'APU FORMATO'!F701</f>
        <v>72283.902183333339</v>
      </c>
      <c r="U59" s="329">
        <f t="shared" si="4"/>
        <v>650555</v>
      </c>
      <c r="V59" s="96"/>
    </row>
    <row r="60" spans="1:22" ht="25.5" x14ac:dyDescent="0.2">
      <c r="A60" s="296">
        <v>8.4</v>
      </c>
      <c r="B60" s="303" t="s">
        <v>192</v>
      </c>
      <c r="C60" s="100" t="s">
        <v>55</v>
      </c>
      <c r="D60" s="100">
        <v>2</v>
      </c>
      <c r="E60" s="13">
        <v>72523.139783333332</v>
      </c>
      <c r="F60" s="73">
        <f t="shared" si="11"/>
        <v>145046.27956666666</v>
      </c>
      <c r="G60" s="354"/>
      <c r="H60" s="296">
        <v>8.4</v>
      </c>
      <c r="I60" s="303" t="s">
        <v>192</v>
      </c>
      <c r="J60" s="100" t="s">
        <v>55</v>
      </c>
      <c r="K60" s="100">
        <f>+CANTIDADES!H221</f>
        <v>2</v>
      </c>
      <c r="L60" s="13">
        <f>+'APU FORMATO'!F726</f>
        <v>72523.139783333332</v>
      </c>
      <c r="M60" s="73">
        <f t="shared" si="12"/>
        <v>145046.27956666666</v>
      </c>
      <c r="P60" s="325">
        <v>8.4</v>
      </c>
      <c r="Q60" s="326" t="s">
        <v>192</v>
      </c>
      <c r="R60" s="327" t="s">
        <v>55</v>
      </c>
      <c r="S60" s="327">
        <f>+CANTIDADES!H221</f>
        <v>2</v>
      </c>
      <c r="T60" s="328">
        <f>+'APU FORMATO'!F726</f>
        <v>72523.139783333332</v>
      </c>
      <c r="U60" s="329">
        <f t="shared" si="4"/>
        <v>145046</v>
      </c>
      <c r="V60" s="96"/>
    </row>
    <row r="61" spans="1:22" ht="25.5" x14ac:dyDescent="0.2">
      <c r="A61" s="296">
        <v>8.5</v>
      </c>
      <c r="B61" s="303" t="s">
        <v>194</v>
      </c>
      <c r="C61" s="100" t="s">
        <v>55</v>
      </c>
      <c r="D61" s="100">
        <v>8</v>
      </c>
      <c r="E61" s="13">
        <v>72523.139783333332</v>
      </c>
      <c r="F61" s="73">
        <f t="shared" si="11"/>
        <v>580185.11826666666</v>
      </c>
      <c r="G61" s="354"/>
      <c r="H61" s="296">
        <v>8.5</v>
      </c>
      <c r="I61" s="303" t="s">
        <v>194</v>
      </c>
      <c r="J61" s="100" t="s">
        <v>55</v>
      </c>
      <c r="K61" s="100">
        <f>+CANTIDADES!H225</f>
        <v>8</v>
      </c>
      <c r="L61" s="13">
        <f>+'APU FORMATO'!F751</f>
        <v>72523.139783333332</v>
      </c>
      <c r="M61" s="73">
        <f t="shared" si="12"/>
        <v>580185.11826666666</v>
      </c>
      <c r="P61" s="325">
        <v>8.5</v>
      </c>
      <c r="Q61" s="326" t="s">
        <v>194</v>
      </c>
      <c r="R61" s="327" t="s">
        <v>55</v>
      </c>
      <c r="S61" s="327">
        <f>+CANTIDADES!H225</f>
        <v>8</v>
      </c>
      <c r="T61" s="328">
        <f>+'APU FORMATO'!F751</f>
        <v>72523.139783333332</v>
      </c>
      <c r="U61" s="329">
        <f t="shared" si="4"/>
        <v>580185</v>
      </c>
      <c r="V61" s="96"/>
    </row>
    <row r="62" spans="1:22" ht="25.5" x14ac:dyDescent="0.2">
      <c r="A62" s="296">
        <v>8.6</v>
      </c>
      <c r="B62" s="303" t="s">
        <v>196</v>
      </c>
      <c r="C62" s="100" t="s">
        <v>55</v>
      </c>
      <c r="D62" s="100">
        <v>3</v>
      </c>
      <c r="E62" s="13">
        <v>77054.061741666665</v>
      </c>
      <c r="F62" s="73">
        <f t="shared" si="11"/>
        <v>231162.18522499999</v>
      </c>
      <c r="G62" s="354"/>
      <c r="H62" s="296">
        <v>8.6</v>
      </c>
      <c r="I62" s="303" t="s">
        <v>196</v>
      </c>
      <c r="J62" s="100" t="s">
        <v>55</v>
      </c>
      <c r="K62" s="100">
        <f>+CANTIDADES!H226</f>
        <v>3</v>
      </c>
      <c r="L62" s="13">
        <f>+'APU FORMATO'!F776</f>
        <v>77054.061741666665</v>
      </c>
      <c r="M62" s="73">
        <f t="shared" si="12"/>
        <v>231162.18522499999</v>
      </c>
      <c r="P62" s="325">
        <v>8.6</v>
      </c>
      <c r="Q62" s="326" t="s">
        <v>196</v>
      </c>
      <c r="R62" s="327" t="s">
        <v>55</v>
      </c>
      <c r="S62" s="327">
        <f>+CANTIDADES!H226</f>
        <v>3</v>
      </c>
      <c r="T62" s="328">
        <f>+'APU FORMATO'!F776</f>
        <v>77054.061741666665</v>
      </c>
      <c r="U62" s="329">
        <f t="shared" si="4"/>
        <v>231162</v>
      </c>
      <c r="V62" s="96"/>
    </row>
    <row r="63" spans="1:22" ht="25.5" x14ac:dyDescent="0.2">
      <c r="A63" s="296">
        <v>8.6999999999999993</v>
      </c>
      <c r="B63" s="303" t="s">
        <v>52</v>
      </c>
      <c r="C63" s="100" t="s">
        <v>55</v>
      </c>
      <c r="D63" s="100">
        <v>7</v>
      </c>
      <c r="E63" s="13">
        <v>120728.35181225001</v>
      </c>
      <c r="F63" s="73">
        <f t="shared" si="11"/>
        <v>845098.4626857501</v>
      </c>
      <c r="G63" s="354"/>
      <c r="H63" s="296">
        <v>8.6999999999999993</v>
      </c>
      <c r="I63" s="303" t="s">
        <v>52</v>
      </c>
      <c r="J63" s="100" t="s">
        <v>55</v>
      </c>
      <c r="K63" s="100">
        <f>+CANTIDADES!H230</f>
        <v>7</v>
      </c>
      <c r="L63" s="13">
        <f>+'APU FORMATO'!F800</f>
        <v>120728.35181225001</v>
      </c>
      <c r="M63" s="73">
        <f t="shared" si="12"/>
        <v>845098.4626857501</v>
      </c>
      <c r="P63" s="325">
        <v>8.6999999999999993</v>
      </c>
      <c r="Q63" s="326" t="s">
        <v>52</v>
      </c>
      <c r="R63" s="327" t="s">
        <v>55</v>
      </c>
      <c r="S63" s="327">
        <f>+CANTIDADES!H230</f>
        <v>7</v>
      </c>
      <c r="T63" s="328">
        <f>+'APU FORMATO'!F800</f>
        <v>120728.35181225001</v>
      </c>
      <c r="U63" s="329">
        <f t="shared" si="4"/>
        <v>845098</v>
      </c>
      <c r="V63" s="96"/>
    </row>
    <row r="64" spans="1:22" ht="25.5" x14ac:dyDescent="0.2">
      <c r="A64" s="296">
        <v>8.8000000000000007</v>
      </c>
      <c r="B64" s="303" t="s">
        <v>46</v>
      </c>
      <c r="C64" s="100" t="s">
        <v>41</v>
      </c>
      <c r="D64" s="100">
        <v>39.599999999999994</v>
      </c>
      <c r="E64" s="13">
        <v>71571.040862250011</v>
      </c>
      <c r="F64" s="73">
        <f t="shared" si="11"/>
        <v>2834213.2181450999</v>
      </c>
      <c r="G64" s="354"/>
      <c r="H64" s="296">
        <v>8.8000000000000007</v>
      </c>
      <c r="I64" s="303" t="s">
        <v>46</v>
      </c>
      <c r="J64" s="100" t="s">
        <v>41</v>
      </c>
      <c r="K64" s="100">
        <f>+CANTIDADES!H231</f>
        <v>39.599999999999994</v>
      </c>
      <c r="L64" s="13">
        <f>+'APU FORMATO'!F823</f>
        <v>44965.72428447222</v>
      </c>
      <c r="M64" s="73">
        <f t="shared" si="12"/>
        <v>1780642.6816650997</v>
      </c>
      <c r="P64" s="325">
        <v>8.8000000000000007</v>
      </c>
      <c r="Q64" s="388" t="s">
        <v>925</v>
      </c>
      <c r="R64" s="327" t="s">
        <v>41</v>
      </c>
      <c r="S64" s="327">
        <f>+CANTIDADES!H231</f>
        <v>39.599999999999994</v>
      </c>
      <c r="T64" s="400">
        <f>+'APU FORMATO'!F823</f>
        <v>44965.72428447222</v>
      </c>
      <c r="U64" s="329">
        <f t="shared" si="4"/>
        <v>1780643</v>
      </c>
      <c r="V64" s="96"/>
    </row>
    <row r="65" spans="1:22" x14ac:dyDescent="0.2">
      <c r="A65" s="296">
        <v>8.9</v>
      </c>
      <c r="B65" s="303" t="s">
        <v>197</v>
      </c>
      <c r="C65" s="100" t="s">
        <v>41</v>
      </c>
      <c r="D65" s="100">
        <v>276.45400000000001</v>
      </c>
      <c r="E65" s="13">
        <v>96723.067530999993</v>
      </c>
      <c r="F65" s="73">
        <f t="shared" si="11"/>
        <v>26739478.911215074</v>
      </c>
      <c r="G65" s="354"/>
      <c r="H65" s="296">
        <v>8.9</v>
      </c>
      <c r="I65" s="303" t="s">
        <v>197</v>
      </c>
      <c r="J65" s="100" t="s">
        <v>41</v>
      </c>
      <c r="K65" s="100">
        <f>+CANTIDADES!H236</f>
        <v>246.45400000000001</v>
      </c>
      <c r="L65" s="13">
        <f>+'APU FORMATO'!F847</f>
        <v>38794.053991699548</v>
      </c>
      <c r="M65" s="73">
        <f t="shared" si="12"/>
        <v>9560949.7824703213</v>
      </c>
      <c r="P65" s="325">
        <v>8.9</v>
      </c>
      <c r="Q65" s="326" t="s">
        <v>197</v>
      </c>
      <c r="R65" s="327" t="s">
        <v>41</v>
      </c>
      <c r="S65" s="327">
        <f>+CANTIDADES!H236</f>
        <v>246.45400000000001</v>
      </c>
      <c r="T65" s="400">
        <f>+'APU FORMATO'!F847</f>
        <v>38794.053991699548</v>
      </c>
      <c r="U65" s="329">
        <f t="shared" si="4"/>
        <v>9560950</v>
      </c>
      <c r="V65" s="96"/>
    </row>
    <row r="66" spans="1:22" x14ac:dyDescent="0.2">
      <c r="A66" s="297">
        <v>8.1</v>
      </c>
      <c r="B66" s="303" t="s">
        <v>195</v>
      </c>
      <c r="C66" s="100" t="s">
        <v>55</v>
      </c>
      <c r="D66" s="100">
        <v>8</v>
      </c>
      <c r="E66" s="13">
        <v>23801.930489583334</v>
      </c>
      <c r="F66" s="73">
        <f t="shared" si="11"/>
        <v>190415.44391666667</v>
      </c>
      <c r="G66" s="354"/>
      <c r="H66" s="297">
        <v>8.1</v>
      </c>
      <c r="I66" s="303" t="s">
        <v>195</v>
      </c>
      <c r="J66" s="100" t="s">
        <v>55</v>
      </c>
      <c r="K66" s="100">
        <f>+CANTIDADES!H240</f>
        <v>8</v>
      </c>
      <c r="L66" s="13">
        <f>+'APU FORMATO'!F867</f>
        <v>23801.930489583334</v>
      </c>
      <c r="M66" s="73">
        <f t="shared" si="12"/>
        <v>190415.44391666667</v>
      </c>
      <c r="P66" s="414">
        <v>8.1</v>
      </c>
      <c r="Q66" s="326" t="s">
        <v>195</v>
      </c>
      <c r="R66" s="327" t="s">
        <v>55</v>
      </c>
      <c r="S66" s="327">
        <f>+CANTIDADES!H240</f>
        <v>8</v>
      </c>
      <c r="T66" s="328">
        <f>+'APU FORMATO'!F867</f>
        <v>23801.930489583334</v>
      </c>
      <c r="U66" s="329">
        <f t="shared" si="4"/>
        <v>190415</v>
      </c>
      <c r="V66" s="96"/>
    </row>
    <row r="67" spans="1:22" ht="25.5" x14ac:dyDescent="0.2">
      <c r="A67" s="297">
        <v>8.11</v>
      </c>
      <c r="B67" s="372" t="s">
        <v>445</v>
      </c>
      <c r="C67" s="100" t="s">
        <v>55</v>
      </c>
      <c r="D67" s="100">
        <v>1</v>
      </c>
      <c r="E67" s="13">
        <v>856350.30205592094</v>
      </c>
      <c r="F67" s="73">
        <f t="shared" si="11"/>
        <v>856350.30205592094</v>
      </c>
      <c r="G67" s="354"/>
      <c r="H67" s="297">
        <v>8.11</v>
      </c>
      <c r="I67" s="303" t="s">
        <v>445</v>
      </c>
      <c r="J67" s="100" t="s">
        <v>55</v>
      </c>
      <c r="K67" s="100">
        <f>+CANTIDADES!H241</f>
        <v>1</v>
      </c>
      <c r="L67" s="13">
        <f>+'APU FORMATO'!F889</f>
        <v>856350.30205592094</v>
      </c>
      <c r="M67" s="375">
        <f t="shared" si="12"/>
        <v>856350.30205592094</v>
      </c>
      <c r="P67" s="414">
        <v>8.11</v>
      </c>
      <c r="Q67" s="326" t="s">
        <v>445</v>
      </c>
      <c r="R67" s="327" t="s">
        <v>55</v>
      </c>
      <c r="S67" s="327">
        <f>+CANTIDADES!H241</f>
        <v>1</v>
      </c>
      <c r="T67" s="328">
        <f>+'APU FORMATO'!F889</f>
        <v>856350.30205592094</v>
      </c>
      <c r="U67" s="329">
        <f t="shared" si="4"/>
        <v>856350</v>
      </c>
      <c r="V67" s="96"/>
    </row>
    <row r="68" spans="1:22" ht="25.5" x14ac:dyDescent="0.2">
      <c r="A68" s="297">
        <v>8.1199999999999992</v>
      </c>
      <c r="B68" s="372" t="s">
        <v>444</v>
      </c>
      <c r="C68" s="100" t="s">
        <v>55</v>
      </c>
      <c r="D68" s="100">
        <v>1</v>
      </c>
      <c r="E68" s="13">
        <v>1481867.9488769737</v>
      </c>
      <c r="F68" s="73">
        <f>E68*D68</f>
        <v>1481867.9488769737</v>
      </c>
      <c r="G68" s="354"/>
      <c r="H68" s="297">
        <v>8.1199999999999992</v>
      </c>
      <c r="I68" s="303" t="s">
        <v>444</v>
      </c>
      <c r="J68" s="100" t="s">
        <v>55</v>
      </c>
      <c r="K68" s="100">
        <f>+CANTIDADES!H242</f>
        <v>1</v>
      </c>
      <c r="L68" s="13">
        <f>+'APU FORMATO'!F912</f>
        <v>1481867.9488769737</v>
      </c>
      <c r="M68" s="375">
        <f t="shared" si="12"/>
        <v>1481867.9488769737</v>
      </c>
      <c r="P68" s="414">
        <v>8.1199999999999992</v>
      </c>
      <c r="Q68" s="326" t="s">
        <v>444</v>
      </c>
      <c r="R68" s="327" t="s">
        <v>55</v>
      </c>
      <c r="S68" s="327">
        <f>+CANTIDADES!H242</f>
        <v>1</v>
      </c>
      <c r="T68" s="328">
        <f>+'APU FORMATO'!F912</f>
        <v>1481867.9488769737</v>
      </c>
      <c r="U68" s="329">
        <f t="shared" si="4"/>
        <v>1481868</v>
      </c>
      <c r="V68" s="96"/>
    </row>
    <row r="69" spans="1:22" s="96" customFormat="1" ht="25.5" x14ac:dyDescent="0.2">
      <c r="A69" s="297">
        <v>8.1300000000000008</v>
      </c>
      <c r="B69" s="372" t="s">
        <v>500</v>
      </c>
      <c r="C69" s="100" t="s">
        <v>41</v>
      </c>
      <c r="D69" s="100">
        <v>86.61999999999999</v>
      </c>
      <c r="E69" s="13">
        <v>99124.264985500005</v>
      </c>
      <c r="F69" s="73">
        <f>E69*D69</f>
        <v>8586143.8330440093</v>
      </c>
      <c r="G69" s="354"/>
      <c r="H69" s="297">
        <v>8.1300000000000008</v>
      </c>
      <c r="I69" s="303" t="s">
        <v>500</v>
      </c>
      <c r="J69" s="100" t="s">
        <v>41</v>
      </c>
      <c r="K69" s="100">
        <f>+CANTIDADES!H245</f>
        <v>76.62</v>
      </c>
      <c r="L69" s="13">
        <f>+'APU FORMATO'!F938</f>
        <v>99124.264985500005</v>
      </c>
      <c r="M69" s="375">
        <f t="shared" si="12"/>
        <v>7594901.1831890112</v>
      </c>
      <c r="P69" s="414">
        <v>8.1300000000000008</v>
      </c>
      <c r="Q69" s="326" t="s">
        <v>500</v>
      </c>
      <c r="R69" s="327" t="s">
        <v>41</v>
      </c>
      <c r="S69" s="327">
        <f>+CANTIDADES!H245</f>
        <v>76.62</v>
      </c>
      <c r="T69" s="328">
        <f>+'APU FORMATO'!F938</f>
        <v>99124.264985500005</v>
      </c>
      <c r="U69" s="329">
        <f t="shared" si="4"/>
        <v>7594901</v>
      </c>
    </row>
    <row r="70" spans="1:22" x14ac:dyDescent="0.2">
      <c r="A70" s="294">
        <v>9</v>
      </c>
      <c r="B70" s="301" t="s">
        <v>25</v>
      </c>
      <c r="C70" s="7"/>
      <c r="D70" s="7"/>
      <c r="E70" s="7"/>
      <c r="F70" s="69"/>
      <c r="G70" s="354"/>
      <c r="H70" s="294">
        <v>9</v>
      </c>
      <c r="I70" s="301" t="s">
        <v>25</v>
      </c>
      <c r="J70" s="7"/>
      <c r="K70" s="7"/>
      <c r="L70" s="7"/>
      <c r="M70" s="69"/>
      <c r="P70" s="410">
        <v>9</v>
      </c>
      <c r="Q70" s="405" t="s">
        <v>25</v>
      </c>
      <c r="R70" s="406"/>
      <c r="S70" s="406"/>
      <c r="T70" s="406"/>
      <c r="U70" s="407"/>
      <c r="V70" s="96"/>
    </row>
    <row r="71" spans="1:22" x14ac:dyDescent="0.2">
      <c r="A71" s="296">
        <v>9.1</v>
      </c>
      <c r="B71" s="303" t="s">
        <v>198</v>
      </c>
      <c r="C71" s="100" t="s">
        <v>55</v>
      </c>
      <c r="D71" s="100">
        <v>9</v>
      </c>
      <c r="E71" s="13">
        <v>42549.806831333335</v>
      </c>
      <c r="F71" s="73">
        <f>E71*D71</f>
        <v>382948.261482</v>
      </c>
      <c r="G71" s="354"/>
      <c r="H71" s="296">
        <v>9.1</v>
      </c>
      <c r="I71" s="303" t="s">
        <v>198</v>
      </c>
      <c r="J71" s="100" t="s">
        <v>55</v>
      </c>
      <c r="K71" s="100">
        <f>+CANTIDADES!H250</f>
        <v>9</v>
      </c>
      <c r="L71" s="13">
        <f>+'APU FORMATO'!F969</f>
        <v>42549.806831333335</v>
      </c>
      <c r="M71" s="73">
        <f>L71*K71</f>
        <v>382948.261482</v>
      </c>
      <c r="P71" s="325">
        <v>9.1</v>
      </c>
      <c r="Q71" s="326" t="s">
        <v>198</v>
      </c>
      <c r="R71" s="327" t="s">
        <v>55</v>
      </c>
      <c r="S71" s="327">
        <f>+CANTIDADES!H250</f>
        <v>9</v>
      </c>
      <c r="T71" s="328">
        <f>+'APU FORMATO'!F969</f>
        <v>42549.806831333335</v>
      </c>
      <c r="U71" s="329">
        <f t="shared" si="4"/>
        <v>382948</v>
      </c>
      <c r="V71" s="96"/>
    </row>
    <row r="72" spans="1:22" x14ac:dyDescent="0.2">
      <c r="A72" s="296">
        <v>9.1999999999999993</v>
      </c>
      <c r="B72" s="303" t="s">
        <v>199</v>
      </c>
      <c r="C72" s="100" t="s">
        <v>55</v>
      </c>
      <c r="D72" s="100">
        <v>2</v>
      </c>
      <c r="E72" s="13">
        <v>42549.806831333335</v>
      </c>
      <c r="F72" s="73">
        <f t="shared" ref="F72:F90" si="13">E72*D72</f>
        <v>85099.61366266667</v>
      </c>
      <c r="G72" s="354"/>
      <c r="H72" s="296">
        <v>9.1999999999999993</v>
      </c>
      <c r="I72" s="303" t="s">
        <v>199</v>
      </c>
      <c r="J72" s="100" t="s">
        <v>55</v>
      </c>
      <c r="K72" s="100">
        <f>+CANTIDADES!H253</f>
        <v>2</v>
      </c>
      <c r="L72" s="13">
        <f>+'APU FORMATO'!F996</f>
        <v>42549.806831333335</v>
      </c>
      <c r="M72" s="73">
        <f t="shared" ref="M72:M90" si="14">L72*K72</f>
        <v>85099.61366266667</v>
      </c>
      <c r="P72" s="325">
        <v>9.1999999999999993</v>
      </c>
      <c r="Q72" s="326" t="s">
        <v>199</v>
      </c>
      <c r="R72" s="327" t="s">
        <v>55</v>
      </c>
      <c r="S72" s="327">
        <f>+CANTIDADES!H253</f>
        <v>2</v>
      </c>
      <c r="T72" s="328">
        <f>+'APU FORMATO'!F996</f>
        <v>42549.806831333335</v>
      </c>
      <c r="U72" s="329">
        <f t="shared" si="4"/>
        <v>85100</v>
      </c>
      <c r="V72" s="96"/>
    </row>
    <row r="73" spans="1:22" x14ac:dyDescent="0.2">
      <c r="A73" s="296">
        <v>9.3000000000000007</v>
      </c>
      <c r="B73" s="303" t="s">
        <v>200</v>
      </c>
      <c r="C73" s="100" t="s">
        <v>55</v>
      </c>
      <c r="D73" s="100">
        <v>3</v>
      </c>
      <c r="E73" s="13">
        <v>64929.673211333335</v>
      </c>
      <c r="F73" s="73">
        <f t="shared" si="13"/>
        <v>194789.019634</v>
      </c>
      <c r="G73" s="354"/>
      <c r="H73" s="296">
        <v>9.3000000000000007</v>
      </c>
      <c r="I73" s="303" t="s">
        <v>200</v>
      </c>
      <c r="J73" s="100" t="s">
        <v>55</v>
      </c>
      <c r="K73" s="346">
        <f>+CANTIDADES!H256</f>
        <v>3</v>
      </c>
      <c r="L73" s="349">
        <f>+'APU FORMATO'!F1025</f>
        <v>64929.673211333335</v>
      </c>
      <c r="M73" s="347">
        <f t="shared" si="14"/>
        <v>194789.019634</v>
      </c>
      <c r="N73" s="382" t="s">
        <v>902</v>
      </c>
      <c r="P73" s="325">
        <v>9.3000000000000007</v>
      </c>
      <c r="Q73" s="326" t="s">
        <v>200</v>
      </c>
      <c r="R73" s="327" t="s">
        <v>55</v>
      </c>
      <c r="S73" s="327">
        <f>+CANTIDADES!H256</f>
        <v>3</v>
      </c>
      <c r="T73" s="400">
        <f>+'APU FORMATO'!F1025</f>
        <v>64929.673211333335</v>
      </c>
      <c r="U73" s="329">
        <f t="shared" ref="U73:U135" si="15">ROUND(T73*S73,0)</f>
        <v>194789</v>
      </c>
      <c r="V73" s="382" t="s">
        <v>902</v>
      </c>
    </row>
    <row r="74" spans="1:22" x14ac:dyDescent="0.2">
      <c r="A74" s="296">
        <v>9.4</v>
      </c>
      <c r="B74" s="303" t="s">
        <v>202</v>
      </c>
      <c r="C74" s="100" t="s">
        <v>55</v>
      </c>
      <c r="D74" s="100">
        <v>3</v>
      </c>
      <c r="E74" s="13">
        <v>87564.016103333328</v>
      </c>
      <c r="F74" s="73">
        <f t="shared" si="13"/>
        <v>262692.04830999998</v>
      </c>
      <c r="G74" s="354"/>
      <c r="H74" s="296">
        <v>9.4</v>
      </c>
      <c r="I74" s="348" t="s">
        <v>202</v>
      </c>
      <c r="J74" s="100" t="s">
        <v>55</v>
      </c>
      <c r="K74" s="100">
        <f>+CANTIDADES!H257</f>
        <v>3</v>
      </c>
      <c r="L74" s="13">
        <f>+'APU FORMATO'!F1049</f>
        <v>87564.016103333328</v>
      </c>
      <c r="M74" s="73">
        <f t="shared" si="14"/>
        <v>262692.04830999998</v>
      </c>
      <c r="N74" s="1" t="s">
        <v>913</v>
      </c>
      <c r="P74" s="325">
        <v>9.4</v>
      </c>
      <c r="Q74" s="326" t="s">
        <v>202</v>
      </c>
      <c r="R74" s="327" t="s">
        <v>55</v>
      </c>
      <c r="S74" s="327">
        <f>+CANTIDADES!H257</f>
        <v>3</v>
      </c>
      <c r="T74" s="328">
        <f>+'APU FORMATO'!F1049</f>
        <v>87564.016103333328</v>
      </c>
      <c r="U74" s="329">
        <f t="shared" si="15"/>
        <v>262692</v>
      </c>
      <c r="V74" s="96" t="s">
        <v>913</v>
      </c>
    </row>
    <row r="75" spans="1:22" x14ac:dyDescent="0.2">
      <c r="A75" s="296">
        <v>9.5</v>
      </c>
      <c r="B75" s="303" t="s">
        <v>201</v>
      </c>
      <c r="C75" s="100" t="s">
        <v>55</v>
      </c>
      <c r="D75" s="100">
        <v>6</v>
      </c>
      <c r="E75" s="13">
        <v>88067.822603333334</v>
      </c>
      <c r="F75" s="73">
        <f t="shared" si="13"/>
        <v>528406.93562</v>
      </c>
      <c r="G75" s="354"/>
      <c r="H75" s="296">
        <v>9.5</v>
      </c>
      <c r="I75" s="348" t="s">
        <v>201</v>
      </c>
      <c r="J75" s="100" t="s">
        <v>55</v>
      </c>
      <c r="K75" s="100">
        <f>+CANTIDADES!H260</f>
        <v>6</v>
      </c>
      <c r="L75" s="13">
        <f>+'APU FORMATO'!F1073</f>
        <v>88067.822603333334</v>
      </c>
      <c r="M75" s="73">
        <f t="shared" si="14"/>
        <v>528406.93562</v>
      </c>
      <c r="N75" s="96" t="s">
        <v>913</v>
      </c>
      <c r="P75" s="325">
        <v>9.5</v>
      </c>
      <c r="Q75" s="326" t="s">
        <v>201</v>
      </c>
      <c r="R75" s="327" t="s">
        <v>55</v>
      </c>
      <c r="S75" s="327">
        <f>+CANTIDADES!H260</f>
        <v>6</v>
      </c>
      <c r="T75" s="328">
        <f>+'APU FORMATO'!F1073</f>
        <v>88067.822603333334</v>
      </c>
      <c r="U75" s="329">
        <f t="shared" si="15"/>
        <v>528407</v>
      </c>
      <c r="V75" s="96" t="s">
        <v>913</v>
      </c>
    </row>
    <row r="76" spans="1:22" x14ac:dyDescent="0.2">
      <c r="A76" s="296">
        <v>9.6</v>
      </c>
      <c r="B76" s="372" t="s">
        <v>401</v>
      </c>
      <c r="C76" s="100" t="s">
        <v>55</v>
      </c>
      <c r="D76" s="100">
        <v>1</v>
      </c>
      <c r="E76" s="13">
        <v>911893.70920133335</v>
      </c>
      <c r="F76" s="73">
        <f t="shared" si="13"/>
        <v>911893.70920133335</v>
      </c>
      <c r="G76" s="354"/>
      <c r="H76" s="296">
        <v>9.6</v>
      </c>
      <c r="I76" s="303" t="s">
        <v>401</v>
      </c>
      <c r="J76" s="100" t="s">
        <v>55</v>
      </c>
      <c r="K76" s="100">
        <f>+CANTIDADES!H261</f>
        <v>1</v>
      </c>
      <c r="L76" s="13">
        <f>+'APU FORMATO'!F1101</f>
        <v>911893.70920133335</v>
      </c>
      <c r="M76" s="73"/>
      <c r="P76" s="325">
        <v>9.6</v>
      </c>
      <c r="Q76" s="326" t="s">
        <v>401</v>
      </c>
      <c r="R76" s="327" t="s">
        <v>55</v>
      </c>
      <c r="S76" s="327">
        <f>+CANTIDADES!H261</f>
        <v>1</v>
      </c>
      <c r="T76" s="328">
        <f>+'APU FORMATO'!F1101</f>
        <v>911893.70920133335</v>
      </c>
      <c r="U76" s="329">
        <f t="shared" si="15"/>
        <v>911894</v>
      </c>
      <c r="V76" s="96"/>
    </row>
    <row r="77" spans="1:22" ht="25.5" x14ac:dyDescent="0.2">
      <c r="A77" s="296">
        <v>9.6999999999999993</v>
      </c>
      <c r="B77" s="303" t="s">
        <v>327</v>
      </c>
      <c r="C77" s="100" t="s">
        <v>55</v>
      </c>
      <c r="D77" s="100">
        <v>2</v>
      </c>
      <c r="E77" s="13">
        <v>237922.74617916669</v>
      </c>
      <c r="F77" s="73">
        <f t="shared" si="13"/>
        <v>475845.49235833337</v>
      </c>
      <c r="G77" s="354"/>
      <c r="H77" s="296">
        <v>9.6999999999999993</v>
      </c>
      <c r="I77" s="303" t="s">
        <v>327</v>
      </c>
      <c r="J77" s="100" t="s">
        <v>55</v>
      </c>
      <c r="K77" s="346">
        <f>+CANTIDADES!H264</f>
        <v>2</v>
      </c>
      <c r="L77" s="13">
        <f>+'APU FORMATO'!F1123</f>
        <v>237922.74617916669</v>
      </c>
      <c r="M77" s="73">
        <f t="shared" si="14"/>
        <v>475845.49235833337</v>
      </c>
      <c r="P77" s="325">
        <v>9.6999999999999993</v>
      </c>
      <c r="Q77" s="326" t="s">
        <v>327</v>
      </c>
      <c r="R77" s="327" t="s">
        <v>55</v>
      </c>
      <c r="S77" s="327">
        <f>+CANTIDADES!H264</f>
        <v>2</v>
      </c>
      <c r="T77" s="328">
        <f>+'APU FORMATO'!F1123</f>
        <v>237922.74617916669</v>
      </c>
      <c r="U77" s="329">
        <f t="shared" si="15"/>
        <v>475845</v>
      </c>
      <c r="V77" s="96"/>
    </row>
    <row r="78" spans="1:22" ht="25.5" x14ac:dyDescent="0.2">
      <c r="A78" s="296">
        <v>9.8000000000000007</v>
      </c>
      <c r="B78" s="303" t="s">
        <v>328</v>
      </c>
      <c r="C78" s="100" t="s">
        <v>55</v>
      </c>
      <c r="D78" s="100">
        <v>1</v>
      </c>
      <c r="E78" s="13">
        <v>59614.746179166672</v>
      </c>
      <c r="F78" s="73">
        <f t="shared" si="13"/>
        <v>59614.746179166672</v>
      </c>
      <c r="G78" s="354"/>
      <c r="H78" s="296">
        <v>9.8000000000000007</v>
      </c>
      <c r="I78" s="303" t="s">
        <v>328</v>
      </c>
      <c r="J78" s="100" t="s">
        <v>55</v>
      </c>
      <c r="K78" s="100">
        <f>+CANTIDADES!H265</f>
        <v>1</v>
      </c>
      <c r="L78" s="13">
        <f>+'APU FORMATO'!F1144</f>
        <v>59614.746179166672</v>
      </c>
      <c r="M78" s="73">
        <f t="shared" si="14"/>
        <v>59614.746179166672</v>
      </c>
      <c r="P78" s="325">
        <v>9.8000000000000007</v>
      </c>
      <c r="Q78" s="326" t="s">
        <v>328</v>
      </c>
      <c r="R78" s="327" t="s">
        <v>55</v>
      </c>
      <c r="S78" s="327">
        <f>+CANTIDADES!H265</f>
        <v>1</v>
      </c>
      <c r="T78" s="328">
        <f>+'APU FORMATO'!F1144</f>
        <v>59614.746179166672</v>
      </c>
      <c r="U78" s="329">
        <f t="shared" si="15"/>
        <v>59615</v>
      </c>
      <c r="V78" s="96"/>
    </row>
    <row r="79" spans="1:22" ht="25.5" x14ac:dyDescent="0.2">
      <c r="A79" s="296">
        <v>9.9</v>
      </c>
      <c r="B79" s="303" t="s">
        <v>329</v>
      </c>
      <c r="C79" s="100"/>
      <c r="D79" s="100">
        <v>1</v>
      </c>
      <c r="E79" s="349">
        <v>1299428.3330333333</v>
      </c>
      <c r="F79" s="73">
        <f t="shared" si="13"/>
        <v>1299428.3330333333</v>
      </c>
      <c r="G79" s="354"/>
      <c r="H79" s="296">
        <v>9.9</v>
      </c>
      <c r="I79" s="303" t="s">
        <v>329</v>
      </c>
      <c r="J79" s="100"/>
      <c r="K79" s="100">
        <f>+CANTIDADES!H266</f>
        <v>1</v>
      </c>
      <c r="L79" s="349">
        <v>650000</v>
      </c>
      <c r="M79" s="73">
        <f t="shared" si="14"/>
        <v>650000</v>
      </c>
      <c r="P79" s="325">
        <v>9.9</v>
      </c>
      <c r="Q79" s="326" t="s">
        <v>329</v>
      </c>
      <c r="R79" s="327"/>
      <c r="S79" s="327">
        <f>+CANTIDADES!H266</f>
        <v>1</v>
      </c>
      <c r="T79" s="400">
        <v>650000</v>
      </c>
      <c r="U79" s="329">
        <f t="shared" si="15"/>
        <v>650000</v>
      </c>
      <c r="V79" s="96"/>
    </row>
    <row r="80" spans="1:22" x14ac:dyDescent="0.2">
      <c r="A80" s="297">
        <v>9.1</v>
      </c>
      <c r="B80" s="303" t="s">
        <v>49</v>
      </c>
      <c r="C80" s="100" t="s">
        <v>41</v>
      </c>
      <c r="D80" s="100">
        <v>20.02</v>
      </c>
      <c r="E80" s="13">
        <v>16122.651693658336</v>
      </c>
      <c r="F80" s="73">
        <f t="shared" si="13"/>
        <v>322775.48690703989</v>
      </c>
      <c r="G80" s="354"/>
      <c r="H80" s="297">
        <v>9.1</v>
      </c>
      <c r="I80" s="303" t="s">
        <v>49</v>
      </c>
      <c r="J80" s="100" t="s">
        <v>41</v>
      </c>
      <c r="K80" s="100">
        <f>+CANTIDADES!H269</f>
        <v>20.02</v>
      </c>
      <c r="L80" s="13">
        <f>+'APU FORMATO'!F1191</f>
        <v>16122.651693658336</v>
      </c>
      <c r="M80" s="73">
        <f t="shared" si="14"/>
        <v>322775.48690703989</v>
      </c>
      <c r="P80" s="414">
        <v>9.1</v>
      </c>
      <c r="Q80" s="326" t="s">
        <v>49</v>
      </c>
      <c r="R80" s="327" t="s">
        <v>41</v>
      </c>
      <c r="S80" s="327">
        <f>+CANTIDADES!H269</f>
        <v>20.02</v>
      </c>
      <c r="T80" s="328">
        <f>+'APU FORMATO'!F1191</f>
        <v>16122.651693658336</v>
      </c>
      <c r="U80" s="329">
        <f t="shared" si="15"/>
        <v>322775</v>
      </c>
      <c r="V80" s="96"/>
    </row>
    <row r="81" spans="1:22" x14ac:dyDescent="0.2">
      <c r="A81" s="297">
        <v>9.11</v>
      </c>
      <c r="B81" s="303" t="s">
        <v>48</v>
      </c>
      <c r="C81" s="100" t="s">
        <v>41</v>
      </c>
      <c r="D81" s="100">
        <v>4.76</v>
      </c>
      <c r="E81" s="13">
        <v>28257.292843133335</v>
      </c>
      <c r="F81" s="73">
        <f t="shared" si="13"/>
        <v>134504.71393331466</v>
      </c>
      <c r="G81" s="354"/>
      <c r="H81" s="297">
        <v>9.11</v>
      </c>
      <c r="I81" s="303" t="s">
        <v>48</v>
      </c>
      <c r="J81" s="100" t="s">
        <v>41</v>
      </c>
      <c r="K81" s="100">
        <f>+CANTIDADES!H270</f>
        <v>4.76</v>
      </c>
      <c r="L81" s="13">
        <f>+'APU FORMATO'!F1216</f>
        <v>28257.292843133335</v>
      </c>
      <c r="M81" s="73">
        <f t="shared" si="14"/>
        <v>134504.71393331466</v>
      </c>
      <c r="P81" s="414">
        <v>9.11</v>
      </c>
      <c r="Q81" s="326" t="s">
        <v>48</v>
      </c>
      <c r="R81" s="327" t="s">
        <v>41</v>
      </c>
      <c r="S81" s="327">
        <f>+CANTIDADES!H270</f>
        <v>4.76</v>
      </c>
      <c r="T81" s="328">
        <f>+'APU FORMATO'!F1216</f>
        <v>28257.292843133335</v>
      </c>
      <c r="U81" s="329">
        <f t="shared" si="15"/>
        <v>134505</v>
      </c>
      <c r="V81" s="96"/>
    </row>
    <row r="82" spans="1:22" x14ac:dyDescent="0.2">
      <c r="A82" s="297">
        <v>9.1199999999999992</v>
      </c>
      <c r="B82" s="303" t="s">
        <v>47</v>
      </c>
      <c r="C82" s="100" t="s">
        <v>41</v>
      </c>
      <c r="D82" s="100">
        <v>3.91</v>
      </c>
      <c r="E82" s="13">
        <v>33226.596519151426</v>
      </c>
      <c r="F82" s="73">
        <f t="shared" si="13"/>
        <v>129915.99238988209</v>
      </c>
      <c r="G82" s="354"/>
      <c r="H82" s="297">
        <v>9.1199999999999992</v>
      </c>
      <c r="I82" s="303" t="s">
        <v>47</v>
      </c>
      <c r="J82" s="100" t="s">
        <v>41</v>
      </c>
      <c r="K82" s="100">
        <f>+CANTIDADES!H271</f>
        <v>3.91</v>
      </c>
      <c r="L82" s="13">
        <f>+'APU FORMATO'!F1241</f>
        <v>33226.596519151426</v>
      </c>
      <c r="M82" s="73">
        <f t="shared" si="14"/>
        <v>129915.99238988209</v>
      </c>
      <c r="P82" s="414">
        <v>9.1199999999999992</v>
      </c>
      <c r="Q82" s="326" t="s">
        <v>47</v>
      </c>
      <c r="R82" s="327" t="s">
        <v>41</v>
      </c>
      <c r="S82" s="327">
        <f>+CANTIDADES!H271</f>
        <v>3.91</v>
      </c>
      <c r="T82" s="328">
        <f>+'APU FORMATO'!F1241</f>
        <v>33226.596519151426</v>
      </c>
      <c r="U82" s="329">
        <f t="shared" si="15"/>
        <v>129916</v>
      </c>
      <c r="V82" s="96"/>
    </row>
    <row r="83" spans="1:22" ht="25.5" x14ac:dyDescent="0.2">
      <c r="A83" s="297">
        <v>9.1300000000000008</v>
      </c>
      <c r="B83" s="372" t="s">
        <v>391</v>
      </c>
      <c r="C83" s="373" t="s">
        <v>33</v>
      </c>
      <c r="D83" s="373">
        <v>1</v>
      </c>
      <c r="E83" s="374">
        <v>3399858.12000525</v>
      </c>
      <c r="F83" s="375">
        <f t="shared" si="13"/>
        <v>3399858.12000525</v>
      </c>
      <c r="G83" s="354"/>
      <c r="H83" s="297">
        <v>9.1300000000000008</v>
      </c>
      <c r="I83" s="303" t="s">
        <v>391</v>
      </c>
      <c r="J83" s="100" t="s">
        <v>33</v>
      </c>
      <c r="K83" s="100">
        <f>+CANTIDADES!H272</f>
        <v>1</v>
      </c>
      <c r="L83" s="13">
        <f>+'APU FORMATO'!F1266</f>
        <v>3099174.12000525</v>
      </c>
      <c r="M83" s="73">
        <f t="shared" si="14"/>
        <v>3099174.12000525</v>
      </c>
      <c r="P83" s="414">
        <v>9.1300000000000008</v>
      </c>
      <c r="Q83" s="326" t="s">
        <v>391</v>
      </c>
      <c r="R83" s="327" t="s">
        <v>33</v>
      </c>
      <c r="S83" s="327">
        <f>+CANTIDADES!H272</f>
        <v>1</v>
      </c>
      <c r="T83" s="328">
        <f>+'APU FORMATO'!F1266</f>
        <v>3099174.12000525</v>
      </c>
      <c r="U83" s="329">
        <f t="shared" si="15"/>
        <v>3099174</v>
      </c>
      <c r="V83" s="96"/>
    </row>
    <row r="84" spans="1:22" x14ac:dyDescent="0.2">
      <c r="A84" s="297">
        <v>9.14</v>
      </c>
      <c r="B84" s="372" t="s">
        <v>395</v>
      </c>
      <c r="C84" s="373" t="s">
        <v>33</v>
      </c>
      <c r="D84" s="373">
        <v>1</v>
      </c>
      <c r="E84" s="374">
        <v>2620456.3391666664</v>
      </c>
      <c r="F84" s="375">
        <f t="shared" si="13"/>
        <v>2620456.3391666664</v>
      </c>
      <c r="G84" s="354"/>
      <c r="H84" s="297">
        <v>9.14</v>
      </c>
      <c r="I84" s="303" t="s">
        <v>395</v>
      </c>
      <c r="J84" s="100" t="s">
        <v>33</v>
      </c>
      <c r="K84" s="100">
        <f>+CANTIDADES!H273</f>
        <v>1</v>
      </c>
      <c r="L84" s="13">
        <f>+'APU FORMATO'!F1288</f>
        <v>2620456.3391666664</v>
      </c>
      <c r="M84" s="73">
        <f t="shared" si="14"/>
        <v>2620456.3391666664</v>
      </c>
      <c r="P84" s="414">
        <v>9.14</v>
      </c>
      <c r="Q84" s="326" t="s">
        <v>395</v>
      </c>
      <c r="R84" s="327" t="s">
        <v>33</v>
      </c>
      <c r="S84" s="327">
        <f>+CANTIDADES!H273</f>
        <v>1</v>
      </c>
      <c r="T84" s="328">
        <f>+'APU FORMATO'!F1288</f>
        <v>2620456.3391666664</v>
      </c>
      <c r="U84" s="329">
        <f t="shared" si="15"/>
        <v>2620456</v>
      </c>
      <c r="V84" s="96"/>
    </row>
    <row r="85" spans="1:22" x14ac:dyDescent="0.2">
      <c r="A85" s="297">
        <v>9.15</v>
      </c>
      <c r="B85" s="372" t="s">
        <v>397</v>
      </c>
      <c r="C85" s="373" t="s">
        <v>33</v>
      </c>
      <c r="D85" s="373">
        <v>1</v>
      </c>
      <c r="E85" s="374">
        <v>327532.84726227733</v>
      </c>
      <c r="F85" s="375">
        <f t="shared" si="13"/>
        <v>327532.84726227733</v>
      </c>
      <c r="G85" s="354"/>
      <c r="H85" s="297">
        <v>9.15</v>
      </c>
      <c r="I85" s="303" t="s">
        <v>397</v>
      </c>
      <c r="J85" s="100" t="s">
        <v>33</v>
      </c>
      <c r="K85" s="100">
        <v>1</v>
      </c>
      <c r="L85" s="13">
        <f>+'APU FORMATO'!F1311</f>
        <v>327532.84726227733</v>
      </c>
      <c r="M85" s="73">
        <f t="shared" si="14"/>
        <v>327532.84726227733</v>
      </c>
      <c r="P85" s="414">
        <v>9.15</v>
      </c>
      <c r="Q85" s="326" t="s">
        <v>397</v>
      </c>
      <c r="R85" s="327" t="s">
        <v>33</v>
      </c>
      <c r="S85" s="327">
        <v>1</v>
      </c>
      <c r="T85" s="328">
        <f>+'APU FORMATO'!F1311</f>
        <v>327532.84726227733</v>
      </c>
      <c r="U85" s="329">
        <f t="shared" si="15"/>
        <v>327533</v>
      </c>
      <c r="V85" s="96"/>
    </row>
    <row r="86" spans="1:22" s="96" customFormat="1" ht="25.5" x14ac:dyDescent="0.2">
      <c r="A86" s="297">
        <v>9.16</v>
      </c>
      <c r="B86" s="303" t="s">
        <v>662</v>
      </c>
      <c r="C86" s="100" t="s">
        <v>33</v>
      </c>
      <c r="D86" s="100">
        <v>1</v>
      </c>
      <c r="E86" s="13">
        <v>46047.192629166668</v>
      </c>
      <c r="F86" s="73">
        <f t="shared" si="13"/>
        <v>46047.192629166668</v>
      </c>
      <c r="G86" s="354"/>
      <c r="H86" s="297">
        <v>9.16</v>
      </c>
      <c r="I86" s="303" t="s">
        <v>662</v>
      </c>
      <c r="J86" s="100" t="s">
        <v>33</v>
      </c>
      <c r="K86" s="100">
        <f>+CANTIDADES!H275</f>
        <v>1</v>
      </c>
      <c r="L86" s="13">
        <f>+'APU FORMATO'!F1332</f>
        <v>46047.192629166668</v>
      </c>
      <c r="M86" s="73">
        <f t="shared" si="14"/>
        <v>46047.192629166668</v>
      </c>
      <c r="P86" s="414">
        <v>9.16</v>
      </c>
      <c r="Q86" s="326" t="s">
        <v>662</v>
      </c>
      <c r="R86" s="327" t="s">
        <v>33</v>
      </c>
      <c r="S86" s="327">
        <f>+CANTIDADES!H275</f>
        <v>1</v>
      </c>
      <c r="T86" s="328">
        <f>+'APU FORMATO'!F1332</f>
        <v>46047.192629166668</v>
      </c>
      <c r="U86" s="329">
        <f t="shared" si="15"/>
        <v>46047</v>
      </c>
    </row>
    <row r="87" spans="1:22" s="96" customFormat="1" ht="25.5" x14ac:dyDescent="0.2">
      <c r="A87" s="297">
        <v>9.17</v>
      </c>
      <c r="B87" s="303" t="s">
        <v>676</v>
      </c>
      <c r="C87" s="100" t="s">
        <v>33</v>
      </c>
      <c r="D87" s="100">
        <v>6</v>
      </c>
      <c r="E87" s="13">
        <v>114728.66882916668</v>
      </c>
      <c r="F87" s="73">
        <f t="shared" si="13"/>
        <v>688372.01297500008</v>
      </c>
      <c r="G87" s="354"/>
      <c r="H87" s="297">
        <v>9.17</v>
      </c>
      <c r="I87" s="303" t="s">
        <v>676</v>
      </c>
      <c r="J87" s="100" t="s">
        <v>33</v>
      </c>
      <c r="K87" s="100">
        <f>+CANTIDADES!H278</f>
        <v>6</v>
      </c>
      <c r="L87" s="13">
        <f>+'APU FORMATO'!F1353</f>
        <v>114728.66882916668</v>
      </c>
      <c r="M87" s="73">
        <f t="shared" si="14"/>
        <v>688372.01297500008</v>
      </c>
      <c r="P87" s="414">
        <v>9.17</v>
      </c>
      <c r="Q87" s="326" t="s">
        <v>676</v>
      </c>
      <c r="R87" s="327" t="s">
        <v>33</v>
      </c>
      <c r="S87" s="327">
        <f>+CANTIDADES!H278</f>
        <v>6</v>
      </c>
      <c r="T87" s="328">
        <f>+'APU FORMATO'!F1353</f>
        <v>114728.66882916668</v>
      </c>
      <c r="U87" s="329">
        <f t="shared" si="15"/>
        <v>688372</v>
      </c>
    </row>
    <row r="88" spans="1:22" s="96" customFormat="1" x14ac:dyDescent="0.2">
      <c r="A88" s="297">
        <v>9.18</v>
      </c>
      <c r="B88" s="303" t="s">
        <v>657</v>
      </c>
      <c r="C88" s="100" t="s">
        <v>41</v>
      </c>
      <c r="D88" s="100">
        <v>249.15</v>
      </c>
      <c r="E88" s="13">
        <v>32272.218439600005</v>
      </c>
      <c r="F88" s="73">
        <f t="shared" si="13"/>
        <v>8040623.2242263416</v>
      </c>
      <c r="G88" s="354"/>
      <c r="H88" s="297">
        <v>9.18</v>
      </c>
      <c r="I88" s="303" t="s">
        <v>657</v>
      </c>
      <c r="J88" s="100" t="s">
        <v>41</v>
      </c>
      <c r="K88" s="346">
        <f>+CANTIDADES!H282</f>
        <v>59.46</v>
      </c>
      <c r="L88" s="13">
        <f>+'APU FORMATO'!F1381</f>
        <v>32272.218439600005</v>
      </c>
      <c r="M88" s="73">
        <f t="shared" si="14"/>
        <v>1918906.1084186162</v>
      </c>
      <c r="P88" s="414">
        <v>9.18</v>
      </c>
      <c r="Q88" s="326" t="s">
        <v>657</v>
      </c>
      <c r="R88" s="327" t="s">
        <v>41</v>
      </c>
      <c r="S88" s="327">
        <f>+CANTIDADES!H282</f>
        <v>59.46</v>
      </c>
      <c r="T88" s="328">
        <f>+'APU FORMATO'!F1381</f>
        <v>32272.218439600005</v>
      </c>
      <c r="U88" s="329">
        <f t="shared" si="15"/>
        <v>1918906</v>
      </c>
    </row>
    <row r="89" spans="1:22" s="96" customFormat="1" x14ac:dyDescent="0.2">
      <c r="A89" s="297">
        <v>9.19</v>
      </c>
      <c r="B89" s="303" t="s">
        <v>658</v>
      </c>
      <c r="C89" s="100" t="s">
        <v>41</v>
      </c>
      <c r="D89" s="100">
        <v>4.96</v>
      </c>
      <c r="E89" s="13">
        <v>45649.664181400003</v>
      </c>
      <c r="F89" s="73">
        <f t="shared" si="13"/>
        <v>226422.334339744</v>
      </c>
      <c r="G89" s="354"/>
      <c r="H89" s="297">
        <v>9.19</v>
      </c>
      <c r="I89" s="303" t="s">
        <v>658</v>
      </c>
      <c r="J89" s="100" t="s">
        <v>41</v>
      </c>
      <c r="K89" s="100">
        <f>+CANTIDADES!H283</f>
        <v>4.96</v>
      </c>
      <c r="L89" s="13">
        <f>+'APU FORMATO'!F1407</f>
        <v>45649.664181400003</v>
      </c>
      <c r="M89" s="73">
        <f t="shared" si="14"/>
        <v>226422.334339744</v>
      </c>
      <c r="P89" s="414">
        <v>9.19</v>
      </c>
      <c r="Q89" s="326" t="s">
        <v>658</v>
      </c>
      <c r="R89" s="327" t="s">
        <v>41</v>
      </c>
      <c r="S89" s="327">
        <f>+CANTIDADES!H283</f>
        <v>4.96</v>
      </c>
      <c r="T89" s="328">
        <f>+'APU FORMATO'!F1407</f>
        <v>45649.664181400003</v>
      </c>
      <c r="U89" s="329">
        <f t="shared" si="15"/>
        <v>226422</v>
      </c>
    </row>
    <row r="90" spans="1:22" s="96" customFormat="1" x14ac:dyDescent="0.2">
      <c r="A90" s="297">
        <v>9.1999999999999993</v>
      </c>
      <c r="B90" s="303" t="s">
        <v>659</v>
      </c>
      <c r="C90" s="100" t="s">
        <v>41</v>
      </c>
      <c r="D90" s="100">
        <v>33.06</v>
      </c>
      <c r="E90" s="13">
        <v>19795.781578000002</v>
      </c>
      <c r="F90" s="73">
        <f t="shared" si="13"/>
        <v>654448.53896868008</v>
      </c>
      <c r="G90" s="354"/>
      <c r="H90" s="297">
        <v>9.1999999999999993</v>
      </c>
      <c r="I90" s="303" t="s">
        <v>659</v>
      </c>
      <c r="J90" s="100" t="s">
        <v>41</v>
      </c>
      <c r="K90" s="100">
        <f>+CANTIDADES!H286</f>
        <v>192.75</v>
      </c>
      <c r="L90" s="13">
        <f>+'APU FORMATO'!F1433</f>
        <v>19795.781578000002</v>
      </c>
      <c r="M90" s="73">
        <f t="shared" si="14"/>
        <v>3815636.8991595004</v>
      </c>
      <c r="P90" s="414">
        <v>9.1999999999999993</v>
      </c>
      <c r="Q90" s="326" t="s">
        <v>659</v>
      </c>
      <c r="R90" s="327" t="s">
        <v>41</v>
      </c>
      <c r="S90" s="327">
        <f>+CANTIDADES!H286</f>
        <v>192.75</v>
      </c>
      <c r="T90" s="328">
        <f>+'APU FORMATO'!F1433</f>
        <v>19795.781578000002</v>
      </c>
      <c r="U90" s="329">
        <f t="shared" si="15"/>
        <v>3815637</v>
      </c>
    </row>
    <row r="91" spans="1:22" x14ac:dyDescent="0.2">
      <c r="A91" s="294">
        <v>10</v>
      </c>
      <c r="B91" s="301" t="s">
        <v>26</v>
      </c>
      <c r="C91" s="7"/>
      <c r="D91" s="7"/>
      <c r="E91" s="7"/>
      <c r="F91" s="69"/>
      <c r="G91" s="354"/>
      <c r="H91" s="294">
        <v>10</v>
      </c>
      <c r="I91" s="301" t="s">
        <v>26</v>
      </c>
      <c r="J91" s="7"/>
      <c r="K91" s="7"/>
      <c r="L91" s="7"/>
      <c r="M91" s="69"/>
      <c r="P91" s="410">
        <v>10</v>
      </c>
      <c r="Q91" s="405" t="s">
        <v>26</v>
      </c>
      <c r="R91" s="406"/>
      <c r="S91" s="406"/>
      <c r="T91" s="406"/>
      <c r="U91" s="407"/>
      <c r="V91" s="96"/>
    </row>
    <row r="92" spans="1:22" ht="25.5" x14ac:dyDescent="0.2">
      <c r="A92" s="296">
        <v>10.1</v>
      </c>
      <c r="B92" s="303" t="s">
        <v>44</v>
      </c>
      <c r="C92" s="100" t="s">
        <v>34</v>
      </c>
      <c r="D92" s="100">
        <v>729.91</v>
      </c>
      <c r="E92" s="13">
        <v>22914.154761999998</v>
      </c>
      <c r="F92" s="73">
        <f>E92*D92</f>
        <v>16725270.702331418</v>
      </c>
      <c r="G92" s="354"/>
      <c r="H92" s="296">
        <v>10.1</v>
      </c>
      <c r="I92" s="303" t="s">
        <v>44</v>
      </c>
      <c r="J92" s="100" t="s">
        <v>34</v>
      </c>
      <c r="K92" s="346">
        <f>+CANTIDADES!H288</f>
        <v>709.91</v>
      </c>
      <c r="L92" s="13">
        <f>+'APU FORMATO'!F1455</f>
        <v>22914.154761999998</v>
      </c>
      <c r="M92" s="73">
        <f>L92*K92</f>
        <v>16266987.607091418</v>
      </c>
      <c r="P92" s="325">
        <v>10.1</v>
      </c>
      <c r="Q92" s="326" t="s">
        <v>927</v>
      </c>
      <c r="R92" s="327" t="s">
        <v>34</v>
      </c>
      <c r="S92" s="327">
        <f>+CANTIDADES!H288</f>
        <v>709.91</v>
      </c>
      <c r="T92" s="400">
        <v>11500</v>
      </c>
      <c r="U92" s="329">
        <f t="shared" si="15"/>
        <v>8163965</v>
      </c>
      <c r="V92" s="96"/>
    </row>
    <row r="93" spans="1:22" ht="25.5" x14ac:dyDescent="0.2">
      <c r="A93" s="296">
        <v>10.199999999999999</v>
      </c>
      <c r="B93" s="303" t="s">
        <v>53</v>
      </c>
      <c r="C93" s="100" t="s">
        <v>34</v>
      </c>
      <c r="D93" s="100">
        <v>1444.0200000000002</v>
      </c>
      <c r="E93" s="13">
        <v>76417.583199999994</v>
      </c>
      <c r="F93" s="73">
        <f t="shared" ref="F93:F94" si="16">E93*D93</f>
        <v>110348518.49246401</v>
      </c>
      <c r="G93" s="354"/>
      <c r="H93" s="296">
        <v>10.199999999999999</v>
      </c>
      <c r="I93" s="303" t="s">
        <v>53</v>
      </c>
      <c r="J93" s="100" t="s">
        <v>34</v>
      </c>
      <c r="K93" s="346">
        <f>+CANTIDADES!H293</f>
        <v>891.86999999999989</v>
      </c>
      <c r="L93" s="13">
        <f>+'APU FORMATO'!F1475</f>
        <v>75292.017699999997</v>
      </c>
      <c r="M93" s="73">
        <f t="shared" ref="M93:M94" si="17">L93*K93</f>
        <v>67150691.826098993</v>
      </c>
      <c r="N93" s="1" t="s">
        <v>903</v>
      </c>
      <c r="P93" s="325">
        <v>10.199999999999999</v>
      </c>
      <c r="Q93" s="388" t="s">
        <v>928</v>
      </c>
      <c r="R93" s="327" t="s">
        <v>34</v>
      </c>
      <c r="S93" s="327">
        <f>+CANTIDADES!H293</f>
        <v>891.86999999999989</v>
      </c>
      <c r="T93" s="328">
        <f>+'APU FORMATO'!F1475</f>
        <v>75292.017699999997</v>
      </c>
      <c r="U93" s="329">
        <f t="shared" si="15"/>
        <v>67150692</v>
      </c>
      <c r="V93" s="96"/>
    </row>
    <row r="94" spans="1:22" ht="25.5" x14ac:dyDescent="0.2">
      <c r="A94" s="296">
        <v>10.3</v>
      </c>
      <c r="B94" s="303" t="s">
        <v>376</v>
      </c>
      <c r="C94" s="100" t="s">
        <v>34</v>
      </c>
      <c r="D94" s="162">
        <v>63.615925000000004</v>
      </c>
      <c r="E94" s="13">
        <v>57432.650750000001</v>
      </c>
      <c r="F94" s="73">
        <f t="shared" si="16"/>
        <v>3653631.2026631939</v>
      </c>
      <c r="G94" s="354"/>
      <c r="H94" s="296">
        <v>10.3</v>
      </c>
      <c r="I94" s="303" t="s">
        <v>376</v>
      </c>
      <c r="J94" s="100" t="s">
        <v>34</v>
      </c>
      <c r="K94" s="162">
        <f>+CANTIDADES!H297</f>
        <v>63.615925000000004</v>
      </c>
      <c r="L94" s="13">
        <f>+'APU FORMATO'!F1497</f>
        <v>57432.650750000001</v>
      </c>
      <c r="M94" s="73">
        <f t="shared" si="17"/>
        <v>3653631.2026631939</v>
      </c>
      <c r="P94" s="325">
        <v>10.3</v>
      </c>
      <c r="Q94" s="326" t="s">
        <v>376</v>
      </c>
      <c r="R94" s="327" t="s">
        <v>34</v>
      </c>
      <c r="S94" s="412">
        <f>+CANTIDADES!H297</f>
        <v>63.615925000000004</v>
      </c>
      <c r="T94" s="328">
        <f>+'APU FORMATO'!F1497</f>
        <v>57432.650750000001</v>
      </c>
      <c r="U94" s="329">
        <f t="shared" si="15"/>
        <v>3653631</v>
      </c>
      <c r="V94" s="96"/>
    </row>
    <row r="95" spans="1:22" x14ac:dyDescent="0.2">
      <c r="A95" s="294">
        <v>11</v>
      </c>
      <c r="B95" s="301" t="s">
        <v>27</v>
      </c>
      <c r="C95" s="7"/>
      <c r="D95" s="7"/>
      <c r="E95" s="7"/>
      <c r="F95" s="69"/>
      <c r="G95" s="354"/>
      <c r="H95" s="294">
        <v>11</v>
      </c>
      <c r="I95" s="301" t="s">
        <v>27</v>
      </c>
      <c r="J95" s="7"/>
      <c r="K95" s="7"/>
      <c r="L95" s="7"/>
      <c r="M95" s="69"/>
      <c r="P95" s="410">
        <v>11</v>
      </c>
      <c r="Q95" s="405" t="s">
        <v>27</v>
      </c>
      <c r="R95" s="406"/>
      <c r="S95" s="406"/>
      <c r="T95" s="406"/>
      <c r="U95" s="407"/>
      <c r="V95" s="96"/>
    </row>
    <row r="96" spans="1:22" x14ac:dyDescent="0.2">
      <c r="A96" s="296">
        <v>11.1</v>
      </c>
      <c r="B96" s="303" t="s">
        <v>32</v>
      </c>
      <c r="C96" s="100" t="s">
        <v>33</v>
      </c>
      <c r="D96" s="100">
        <v>1</v>
      </c>
      <c r="E96" s="13">
        <v>347055.50949999999</v>
      </c>
      <c r="F96" s="73">
        <f>E96*D96</f>
        <v>347055.50949999999</v>
      </c>
      <c r="G96" s="354"/>
      <c r="H96" s="296">
        <v>11.1</v>
      </c>
      <c r="I96" s="303" t="s">
        <v>32</v>
      </c>
      <c r="J96" s="100" t="s">
        <v>33</v>
      </c>
      <c r="K96" s="100">
        <f>+CANTIDADES!H299</f>
        <v>1</v>
      </c>
      <c r="L96" s="349">
        <f>+'APU FORMATO'!F1518</f>
        <v>347055.50949999999</v>
      </c>
      <c r="M96" s="73">
        <f>L96*K96</f>
        <v>347055.50949999999</v>
      </c>
      <c r="N96" s="382" t="s">
        <v>904</v>
      </c>
      <c r="P96" s="325">
        <v>11.1</v>
      </c>
      <c r="Q96" s="326" t="s">
        <v>32</v>
      </c>
      <c r="R96" s="327" t="s">
        <v>33</v>
      </c>
      <c r="S96" s="327">
        <f>+CANTIDADES!H299</f>
        <v>1</v>
      </c>
      <c r="T96" s="400">
        <f>+'APU FORMATO'!F1518</f>
        <v>347055.50949999999</v>
      </c>
      <c r="U96" s="329">
        <f t="shared" si="15"/>
        <v>347056</v>
      </c>
      <c r="V96" s="382" t="s">
        <v>929</v>
      </c>
    </row>
    <row r="97" spans="1:22" x14ac:dyDescent="0.2">
      <c r="A97" s="296">
        <v>11.2</v>
      </c>
      <c r="B97" s="303" t="s">
        <v>35</v>
      </c>
      <c r="C97" s="100" t="s">
        <v>33</v>
      </c>
      <c r="D97" s="100">
        <v>6</v>
      </c>
      <c r="E97" s="13">
        <v>923775.50950000004</v>
      </c>
      <c r="F97" s="73">
        <f t="shared" ref="F97:F104" si="18">E97*D97</f>
        <v>5542653.057</v>
      </c>
      <c r="G97" s="354"/>
      <c r="H97" s="296">
        <v>11.2</v>
      </c>
      <c r="I97" s="303" t="s">
        <v>35</v>
      </c>
      <c r="J97" s="100" t="s">
        <v>33</v>
      </c>
      <c r="K97" s="100">
        <f>+CANTIDADES!H302</f>
        <v>6</v>
      </c>
      <c r="L97" s="349">
        <f>+'APU FORMATO'!F1539</f>
        <v>622775.50950000004</v>
      </c>
      <c r="M97" s="73">
        <f t="shared" ref="M97:M104" si="19">L97*K97</f>
        <v>3736653.057</v>
      </c>
      <c r="N97" s="1" t="s">
        <v>905</v>
      </c>
      <c r="P97" s="325">
        <v>11.2</v>
      </c>
      <c r="Q97" s="326" t="s">
        <v>35</v>
      </c>
      <c r="R97" s="327" t="s">
        <v>33</v>
      </c>
      <c r="S97" s="327">
        <f>+CANTIDADES!H302</f>
        <v>6</v>
      </c>
      <c r="T97" s="400">
        <f>+'APU FORMATO'!F1539</f>
        <v>622775.50950000004</v>
      </c>
      <c r="U97" s="329">
        <f t="shared" si="15"/>
        <v>3736653</v>
      </c>
      <c r="V97" s="96" t="s">
        <v>905</v>
      </c>
    </row>
    <row r="98" spans="1:22" ht="25.5" x14ac:dyDescent="0.2">
      <c r="A98" s="296">
        <v>11.3</v>
      </c>
      <c r="B98" s="303" t="s">
        <v>36</v>
      </c>
      <c r="C98" s="100" t="s">
        <v>33</v>
      </c>
      <c r="D98" s="100">
        <v>6</v>
      </c>
      <c r="E98" s="13">
        <v>184354.58949999997</v>
      </c>
      <c r="F98" s="73">
        <f t="shared" si="18"/>
        <v>1106127.5369999998</v>
      </c>
      <c r="G98" s="354"/>
      <c r="H98" s="296">
        <v>11.3</v>
      </c>
      <c r="I98" s="303" t="s">
        <v>36</v>
      </c>
      <c r="J98" s="100" t="s">
        <v>33</v>
      </c>
      <c r="K98" s="100">
        <f>+CANTIDADES!H305</f>
        <v>6</v>
      </c>
      <c r="L98" s="13">
        <f>+'APU FORMATO'!F1560</f>
        <v>184354.58949999997</v>
      </c>
      <c r="M98" s="73">
        <f t="shared" si="19"/>
        <v>1106127.5369999998</v>
      </c>
      <c r="P98" s="325">
        <v>11.3</v>
      </c>
      <c r="Q98" s="326" t="s">
        <v>36</v>
      </c>
      <c r="R98" s="327" t="s">
        <v>33</v>
      </c>
      <c r="S98" s="327">
        <f>+CANTIDADES!H305</f>
        <v>6</v>
      </c>
      <c r="T98" s="328">
        <f>+'APU FORMATO'!F1560</f>
        <v>184354.58949999997</v>
      </c>
      <c r="U98" s="329">
        <f t="shared" si="15"/>
        <v>1106128</v>
      </c>
      <c r="V98" s="96"/>
    </row>
    <row r="99" spans="1:22" ht="25.5" x14ac:dyDescent="0.2">
      <c r="A99" s="296">
        <v>11.4</v>
      </c>
      <c r="B99" s="303" t="s">
        <v>37</v>
      </c>
      <c r="C99" s="100" t="s">
        <v>33</v>
      </c>
      <c r="D99" s="100">
        <v>1</v>
      </c>
      <c r="E99" s="13">
        <v>110319.5095</v>
      </c>
      <c r="F99" s="73">
        <f t="shared" si="18"/>
        <v>110319.5095</v>
      </c>
      <c r="G99" s="354"/>
      <c r="H99" s="296">
        <v>11.4</v>
      </c>
      <c r="I99" s="303" t="s">
        <v>37</v>
      </c>
      <c r="J99" s="100" t="s">
        <v>33</v>
      </c>
      <c r="K99" s="100">
        <f>+CANTIDADES!H306</f>
        <v>1</v>
      </c>
      <c r="L99" s="13">
        <f>+'APU FORMATO'!F1581</f>
        <v>110319.5095</v>
      </c>
      <c r="M99" s="73">
        <f t="shared" si="19"/>
        <v>110319.5095</v>
      </c>
      <c r="P99" s="325">
        <v>11.4</v>
      </c>
      <c r="Q99" s="326" t="s">
        <v>37</v>
      </c>
      <c r="R99" s="327" t="s">
        <v>33</v>
      </c>
      <c r="S99" s="327">
        <f>+CANTIDADES!H306</f>
        <v>1</v>
      </c>
      <c r="T99" s="328">
        <f>+'APU FORMATO'!F1581</f>
        <v>110319.5095</v>
      </c>
      <c r="U99" s="329">
        <f t="shared" si="15"/>
        <v>110320</v>
      </c>
      <c r="V99" s="96"/>
    </row>
    <row r="100" spans="1:22" ht="25.5" x14ac:dyDescent="0.2">
      <c r="A100" s="296">
        <v>11.5</v>
      </c>
      <c r="B100" s="303" t="s">
        <v>38</v>
      </c>
      <c r="C100" s="100" t="s">
        <v>33</v>
      </c>
      <c r="D100" s="100">
        <v>2</v>
      </c>
      <c r="E100" s="13">
        <v>149819.50949999999</v>
      </c>
      <c r="F100" s="73">
        <f t="shared" si="18"/>
        <v>299639.01899999997</v>
      </c>
      <c r="G100" s="354"/>
      <c r="H100" s="296">
        <v>11.5</v>
      </c>
      <c r="I100" s="303" t="s">
        <v>38</v>
      </c>
      <c r="J100" s="100" t="s">
        <v>33</v>
      </c>
      <c r="K100" s="100">
        <f>+CANTIDADES!H309</f>
        <v>2</v>
      </c>
      <c r="L100" s="13">
        <f>+'APU FORMATO'!F1602</f>
        <v>149819.50949999999</v>
      </c>
      <c r="M100" s="73">
        <f t="shared" si="19"/>
        <v>299639.01899999997</v>
      </c>
      <c r="P100" s="325">
        <v>11.5</v>
      </c>
      <c r="Q100" s="326" t="s">
        <v>38</v>
      </c>
      <c r="R100" s="327" t="s">
        <v>33</v>
      </c>
      <c r="S100" s="327">
        <f>+CANTIDADES!H309</f>
        <v>2</v>
      </c>
      <c r="T100" s="328">
        <f>+'APU FORMATO'!F1602</f>
        <v>149819.50949999999</v>
      </c>
      <c r="U100" s="329">
        <f t="shared" si="15"/>
        <v>299639</v>
      </c>
      <c r="V100" s="96"/>
    </row>
    <row r="101" spans="1:22" ht="25.5" x14ac:dyDescent="0.2">
      <c r="A101" s="296">
        <v>11.6</v>
      </c>
      <c r="B101" s="303" t="s">
        <v>39</v>
      </c>
      <c r="C101" s="100" t="s">
        <v>33</v>
      </c>
      <c r="D101" s="100">
        <v>3</v>
      </c>
      <c r="E101" s="13">
        <v>332907.50949999999</v>
      </c>
      <c r="F101" s="73">
        <f t="shared" si="18"/>
        <v>998722.52850000001</v>
      </c>
      <c r="G101" s="354"/>
      <c r="H101" s="296">
        <v>11.6</v>
      </c>
      <c r="I101" s="303" t="s">
        <v>39</v>
      </c>
      <c r="J101" s="100" t="s">
        <v>33</v>
      </c>
      <c r="K101" s="100">
        <f>+CANTIDADES!H310</f>
        <v>3</v>
      </c>
      <c r="L101" s="13">
        <f>+'APU FORMATO'!F1623</f>
        <v>332907.50949999999</v>
      </c>
      <c r="M101" s="73">
        <f t="shared" si="19"/>
        <v>998722.52850000001</v>
      </c>
      <c r="N101" s="96" t="s">
        <v>905</v>
      </c>
      <c r="P101" s="325">
        <v>11.6</v>
      </c>
      <c r="Q101" s="326" t="s">
        <v>39</v>
      </c>
      <c r="R101" s="327" t="s">
        <v>33</v>
      </c>
      <c r="S101" s="327">
        <f>+CANTIDADES!H310</f>
        <v>3</v>
      </c>
      <c r="T101" s="328">
        <f>+'APU FORMATO'!F1623</f>
        <v>332907.50949999999</v>
      </c>
      <c r="U101" s="329">
        <f t="shared" si="15"/>
        <v>998723</v>
      </c>
      <c r="V101" s="96" t="s">
        <v>905</v>
      </c>
    </row>
    <row r="102" spans="1:22" x14ac:dyDescent="0.2">
      <c r="A102" s="296">
        <v>11.7</v>
      </c>
      <c r="B102" s="303" t="s">
        <v>40</v>
      </c>
      <c r="C102" s="100" t="s">
        <v>33</v>
      </c>
      <c r="D102" s="100">
        <v>2</v>
      </c>
      <c r="E102" s="13">
        <v>81243.072500000009</v>
      </c>
      <c r="F102" s="73">
        <f t="shared" si="18"/>
        <v>162486.14500000002</v>
      </c>
      <c r="G102" s="354"/>
      <c r="H102" s="296">
        <v>11.7</v>
      </c>
      <c r="I102" s="303" t="s">
        <v>40</v>
      </c>
      <c r="J102" s="100" t="s">
        <v>33</v>
      </c>
      <c r="K102" s="100">
        <f>+CANTIDADES!H313</f>
        <v>2</v>
      </c>
      <c r="L102" s="13">
        <f>+'APU FORMATO'!F1643</f>
        <v>81243.072500000009</v>
      </c>
      <c r="M102" s="73">
        <f t="shared" si="19"/>
        <v>162486.14500000002</v>
      </c>
      <c r="P102" s="325">
        <v>11.7</v>
      </c>
      <c r="Q102" s="326" t="s">
        <v>40</v>
      </c>
      <c r="R102" s="327" t="s">
        <v>33</v>
      </c>
      <c r="S102" s="327">
        <f>+CANTIDADES!H313</f>
        <v>2</v>
      </c>
      <c r="T102" s="328">
        <f>+'APU FORMATO'!F1643</f>
        <v>81243.072500000009</v>
      </c>
      <c r="U102" s="329">
        <f t="shared" si="15"/>
        <v>162486</v>
      </c>
      <c r="V102" s="96"/>
    </row>
    <row r="103" spans="1:22" x14ac:dyDescent="0.2">
      <c r="A103" s="296">
        <v>11.8</v>
      </c>
      <c r="B103" s="303" t="s">
        <v>651</v>
      </c>
      <c r="C103" s="100" t="s">
        <v>34</v>
      </c>
      <c r="D103" s="100">
        <v>6.96</v>
      </c>
      <c r="E103" s="13">
        <v>75022.872499999998</v>
      </c>
      <c r="F103" s="73">
        <f t="shared" si="18"/>
        <v>522159.19260000001</v>
      </c>
      <c r="G103" s="354"/>
      <c r="H103" s="296">
        <v>11.8</v>
      </c>
      <c r="I103" s="303" t="s">
        <v>651</v>
      </c>
      <c r="J103" s="100" t="s">
        <v>34</v>
      </c>
      <c r="K103" s="346">
        <f>+CANTIDADES!H319</f>
        <v>6.96</v>
      </c>
      <c r="L103" s="13">
        <f>+'APU FORMATO'!F1666</f>
        <v>75022.872499999998</v>
      </c>
      <c r="M103" s="73">
        <f t="shared" si="19"/>
        <v>522159.19260000001</v>
      </c>
      <c r="P103" s="325">
        <v>11.8</v>
      </c>
      <c r="Q103" s="326" t="s">
        <v>651</v>
      </c>
      <c r="R103" s="327" t="s">
        <v>34</v>
      </c>
      <c r="S103" s="327">
        <f>+CANTIDADES!H319</f>
        <v>6.96</v>
      </c>
      <c r="T103" s="328">
        <f>+'APU FORMATO'!F1666</f>
        <v>75022.872499999998</v>
      </c>
      <c r="U103" s="329">
        <f t="shared" si="15"/>
        <v>522159</v>
      </c>
      <c r="V103" s="96"/>
    </row>
    <row r="104" spans="1:22" s="96" customFormat="1" ht="51" x14ac:dyDescent="0.2">
      <c r="A104" s="296">
        <v>11.9</v>
      </c>
      <c r="B104" s="303" t="s">
        <v>517</v>
      </c>
      <c r="C104" s="100" t="s">
        <v>33</v>
      </c>
      <c r="D104" s="100">
        <v>1</v>
      </c>
      <c r="E104" s="13">
        <v>6984939.2637499999</v>
      </c>
      <c r="F104" s="73">
        <f t="shared" si="18"/>
        <v>6984939.2637499999</v>
      </c>
      <c r="G104" s="354"/>
      <c r="H104" s="296">
        <v>11.9</v>
      </c>
      <c r="I104" s="348" t="s">
        <v>517</v>
      </c>
      <c r="J104" s="346" t="s">
        <v>33</v>
      </c>
      <c r="K104" s="346">
        <f>+CANTIDADES!H320</f>
        <v>1</v>
      </c>
      <c r="L104" s="349">
        <f>+'APU FORMATO'!F1690</f>
        <v>5684939.2637499999</v>
      </c>
      <c r="M104" s="347">
        <f t="shared" si="19"/>
        <v>5684939.2637499999</v>
      </c>
      <c r="N104" s="96" t="s">
        <v>902</v>
      </c>
      <c r="P104" s="325">
        <v>11.9</v>
      </c>
      <c r="Q104" s="326" t="s">
        <v>517</v>
      </c>
      <c r="R104" s="327" t="s">
        <v>33</v>
      </c>
      <c r="S104" s="327">
        <f>+CANTIDADES!H320</f>
        <v>1</v>
      </c>
      <c r="T104" s="400">
        <f>+'APU FORMATO'!F1690</f>
        <v>5684939.2637499999</v>
      </c>
      <c r="U104" s="329">
        <f t="shared" si="15"/>
        <v>5684939</v>
      </c>
      <c r="V104" s="96" t="s">
        <v>902</v>
      </c>
    </row>
    <row r="105" spans="1:22" x14ac:dyDescent="0.2">
      <c r="A105" s="294">
        <v>12</v>
      </c>
      <c r="B105" s="301" t="s">
        <v>50</v>
      </c>
      <c r="C105" s="7"/>
      <c r="D105" s="7"/>
      <c r="E105" s="7"/>
      <c r="F105" s="69"/>
      <c r="G105" s="354"/>
      <c r="H105" s="294">
        <v>12</v>
      </c>
      <c r="I105" s="301" t="s">
        <v>50</v>
      </c>
      <c r="J105" s="7"/>
      <c r="K105" s="7"/>
      <c r="L105" s="7"/>
      <c r="M105" s="69"/>
      <c r="P105" s="410">
        <v>12</v>
      </c>
      <c r="Q105" s="405" t="s">
        <v>50</v>
      </c>
      <c r="R105" s="406"/>
      <c r="S105" s="406"/>
      <c r="T105" s="406"/>
      <c r="U105" s="407"/>
      <c r="V105" s="96"/>
    </row>
    <row r="106" spans="1:22" ht="25.5" x14ac:dyDescent="0.2">
      <c r="A106" s="296">
        <v>12.1</v>
      </c>
      <c r="B106" s="303" t="s">
        <v>542</v>
      </c>
      <c r="C106" s="100" t="s">
        <v>34</v>
      </c>
      <c r="D106" s="100">
        <v>20.399999999999999</v>
      </c>
      <c r="E106" s="13">
        <v>249884.10165000003</v>
      </c>
      <c r="F106" s="73">
        <f>E106*D106</f>
        <v>5097635.6736599999</v>
      </c>
      <c r="G106" s="354"/>
      <c r="H106" s="296">
        <v>12.1</v>
      </c>
      <c r="I106" s="303" t="s">
        <v>542</v>
      </c>
      <c r="J106" s="100" t="s">
        <v>34</v>
      </c>
      <c r="K106" s="100">
        <f>+CANTIDADES!H328</f>
        <v>20.399999999999999</v>
      </c>
      <c r="L106" s="13">
        <f>+'APU FORMATO'!F1716</f>
        <v>249884.10165000003</v>
      </c>
      <c r="M106" s="73">
        <f>L106*K106</f>
        <v>5097635.6736599999</v>
      </c>
      <c r="P106" s="325">
        <v>12.1</v>
      </c>
      <c r="Q106" s="326" t="s">
        <v>542</v>
      </c>
      <c r="R106" s="327" t="s">
        <v>34</v>
      </c>
      <c r="S106" s="327">
        <f>+CANTIDADES!H328</f>
        <v>20.399999999999999</v>
      </c>
      <c r="T106" s="328">
        <f>+'APU FORMATO'!F1716</f>
        <v>249884.10165000003</v>
      </c>
      <c r="U106" s="329">
        <f t="shared" si="15"/>
        <v>5097636</v>
      </c>
      <c r="V106" s="96"/>
    </row>
    <row r="107" spans="1:22" ht="25.5" x14ac:dyDescent="0.2">
      <c r="A107" s="296">
        <v>12.2</v>
      </c>
      <c r="B107" s="326" t="s">
        <v>872</v>
      </c>
      <c r="C107" s="100" t="s">
        <v>34</v>
      </c>
      <c r="D107" s="100">
        <v>9.6000000000000014</v>
      </c>
      <c r="E107" s="13">
        <v>124549.18635</v>
      </c>
      <c r="F107" s="73">
        <f t="shared" ref="F107" si="20">E107*D107</f>
        <v>1195672.1889600002</v>
      </c>
      <c r="G107" s="354"/>
      <c r="H107" s="296">
        <v>12.2</v>
      </c>
      <c r="I107" s="326" t="s">
        <v>872</v>
      </c>
      <c r="J107" s="100" t="s">
        <v>34</v>
      </c>
      <c r="K107" s="100">
        <f>+CANTIDADES!H355</f>
        <v>9.6000000000000014</v>
      </c>
      <c r="L107" s="13">
        <f>+'APU FORMATO'!F1739</f>
        <v>124549.18635</v>
      </c>
      <c r="M107" s="73">
        <f t="shared" ref="M107" si="21">L107*K107</f>
        <v>1195672.1889600002</v>
      </c>
      <c r="P107" s="325">
        <v>12.2</v>
      </c>
      <c r="Q107" s="326" t="s">
        <v>872</v>
      </c>
      <c r="R107" s="327" t="s">
        <v>34</v>
      </c>
      <c r="S107" s="327">
        <f>+CANTIDADES!H355</f>
        <v>9.6000000000000014</v>
      </c>
      <c r="T107" s="328">
        <f>+'APU FORMATO'!F1739</f>
        <v>124549.18635</v>
      </c>
      <c r="U107" s="329">
        <f t="shared" si="15"/>
        <v>1195672</v>
      </c>
      <c r="V107" s="96"/>
    </row>
    <row r="108" spans="1:22" x14ac:dyDescent="0.2">
      <c r="A108" s="294">
        <v>13</v>
      </c>
      <c r="B108" s="301" t="s">
        <v>51</v>
      </c>
      <c r="C108" s="7"/>
      <c r="D108" s="7"/>
      <c r="E108" s="7"/>
      <c r="F108" s="69"/>
      <c r="G108" s="354"/>
      <c r="H108" s="294">
        <v>13</v>
      </c>
      <c r="I108" s="301" t="s">
        <v>51</v>
      </c>
      <c r="J108" s="7"/>
      <c r="K108" s="7"/>
      <c r="L108" s="7"/>
      <c r="M108" s="69"/>
      <c r="P108" s="410">
        <v>13</v>
      </c>
      <c r="Q108" s="405" t="s">
        <v>51</v>
      </c>
      <c r="R108" s="406"/>
      <c r="S108" s="406"/>
      <c r="T108" s="406"/>
      <c r="U108" s="407"/>
      <c r="V108" s="96"/>
    </row>
    <row r="109" spans="1:22" ht="25.5" x14ac:dyDescent="0.2">
      <c r="A109" s="296">
        <v>13.1</v>
      </c>
      <c r="B109" s="303" t="s">
        <v>221</v>
      </c>
      <c r="C109" s="100" t="s">
        <v>34</v>
      </c>
      <c r="D109" s="162">
        <v>182.53519999999997</v>
      </c>
      <c r="E109" s="13">
        <v>58845.39875</v>
      </c>
      <c r="F109" s="73">
        <f>E109*D109</f>
        <v>10741356.629910998</v>
      </c>
      <c r="G109" s="354"/>
      <c r="H109" s="296">
        <v>13.1</v>
      </c>
      <c r="I109" s="303" t="s">
        <v>221</v>
      </c>
      <c r="J109" s="100" t="s">
        <v>34</v>
      </c>
      <c r="K109" s="162">
        <f>+CANTIDADES!H333</f>
        <v>143.49520000000001</v>
      </c>
      <c r="L109" s="13">
        <f>+'APU FORMATO'!F1793</f>
        <v>58845.39875</v>
      </c>
      <c r="M109" s="73">
        <f>L109*K109</f>
        <v>8444032.2627110016</v>
      </c>
      <c r="P109" s="325">
        <v>13.1</v>
      </c>
      <c r="Q109" s="326" t="s">
        <v>221</v>
      </c>
      <c r="R109" s="327" t="s">
        <v>34</v>
      </c>
      <c r="S109" s="412">
        <f>+CANTIDADES!H333</f>
        <v>143.49520000000001</v>
      </c>
      <c r="T109" s="328">
        <f>+'APU FORMATO'!F1793</f>
        <v>58845.39875</v>
      </c>
      <c r="U109" s="329">
        <f t="shared" si="15"/>
        <v>8444032</v>
      </c>
      <c r="V109" s="96"/>
    </row>
    <row r="110" spans="1:22" x14ac:dyDescent="0.2">
      <c r="A110" s="296">
        <v>13.2</v>
      </c>
      <c r="B110" s="303" t="s">
        <v>225</v>
      </c>
      <c r="C110" s="100" t="s">
        <v>34</v>
      </c>
      <c r="D110" s="100">
        <v>84.2</v>
      </c>
      <c r="E110" s="13">
        <v>16642.446250000001</v>
      </c>
      <c r="F110" s="73">
        <f>E110*D110</f>
        <v>1401293.9742500002</v>
      </c>
      <c r="G110" s="354"/>
      <c r="H110" s="296">
        <v>13.2</v>
      </c>
      <c r="I110" s="303" t="s">
        <v>225</v>
      </c>
      <c r="J110" s="100" t="s">
        <v>34</v>
      </c>
      <c r="K110" s="100">
        <f>+CANTIDADES!H336</f>
        <v>76.2</v>
      </c>
      <c r="L110" s="13">
        <f>+'APU FORMATO'!F1816</f>
        <v>16642.446250000001</v>
      </c>
      <c r="M110" s="73">
        <f>L110*K110</f>
        <v>1268154.4042500001</v>
      </c>
      <c r="P110" s="325">
        <v>13.2</v>
      </c>
      <c r="Q110" s="326" t="s">
        <v>225</v>
      </c>
      <c r="R110" s="327" t="s">
        <v>34</v>
      </c>
      <c r="S110" s="327">
        <f>+CANTIDADES!H336</f>
        <v>76.2</v>
      </c>
      <c r="T110" s="328">
        <f>+'APU FORMATO'!F1816</f>
        <v>16642.446250000001</v>
      </c>
      <c r="U110" s="329">
        <f t="shared" si="15"/>
        <v>1268154</v>
      </c>
      <c r="V110" s="96" t="s">
        <v>915</v>
      </c>
    </row>
    <row r="111" spans="1:22" x14ac:dyDescent="0.2">
      <c r="A111" s="294">
        <v>14</v>
      </c>
      <c r="B111" s="301" t="s">
        <v>28</v>
      </c>
      <c r="C111" s="7"/>
      <c r="D111" s="7"/>
      <c r="E111" s="7"/>
      <c r="F111" s="69"/>
      <c r="G111" s="354"/>
      <c r="H111" s="294">
        <v>14</v>
      </c>
      <c r="I111" s="301" t="s">
        <v>28</v>
      </c>
      <c r="J111" s="7"/>
      <c r="K111" s="7"/>
      <c r="L111" s="7"/>
      <c r="M111" s="69"/>
      <c r="P111" s="410">
        <v>14</v>
      </c>
      <c r="Q111" s="405" t="s">
        <v>28</v>
      </c>
      <c r="R111" s="406"/>
      <c r="S111" s="406"/>
      <c r="T111" s="406"/>
      <c r="U111" s="407"/>
      <c r="V111" s="96"/>
    </row>
    <row r="112" spans="1:22" ht="76.5" x14ac:dyDescent="0.2">
      <c r="A112" s="296">
        <v>14.1</v>
      </c>
      <c r="B112" s="326" t="s">
        <v>524</v>
      </c>
      <c r="C112" s="100" t="s">
        <v>34</v>
      </c>
      <c r="D112" s="100">
        <v>40.319999999999993</v>
      </c>
      <c r="E112" s="13">
        <v>804861.29145999998</v>
      </c>
      <c r="F112" s="73">
        <f>E112*D112</f>
        <v>32452007.271667194</v>
      </c>
      <c r="G112" s="354"/>
      <c r="H112" s="296">
        <v>14.1</v>
      </c>
      <c r="I112" s="326" t="s">
        <v>524</v>
      </c>
      <c r="J112" s="100" t="s">
        <v>34</v>
      </c>
      <c r="K112" s="100">
        <f>+CANTIDADES!H342</f>
        <v>40.319999999999993</v>
      </c>
      <c r="L112" s="349">
        <f>+'APU FORMATO'!F1839</f>
        <v>804861.29145999998</v>
      </c>
      <c r="M112" s="73">
        <f>L112*K112</f>
        <v>32452007.271667194</v>
      </c>
      <c r="N112" s="1" t="s">
        <v>908</v>
      </c>
      <c r="P112" s="325">
        <v>14.1</v>
      </c>
      <c r="Q112" s="326" t="s">
        <v>524</v>
      </c>
      <c r="R112" s="327" t="s">
        <v>34</v>
      </c>
      <c r="S112" s="327">
        <f>+CANTIDADES!H342</f>
        <v>40.319999999999993</v>
      </c>
      <c r="T112" s="400">
        <v>380000</v>
      </c>
      <c r="U112" s="329">
        <f t="shared" si="15"/>
        <v>15321600</v>
      </c>
      <c r="V112" s="96" t="s">
        <v>908</v>
      </c>
    </row>
    <row r="113" spans="1:22" s="96" customFormat="1" ht="38.25" x14ac:dyDescent="0.2">
      <c r="A113" s="296">
        <v>14.2</v>
      </c>
      <c r="B113" s="303" t="s">
        <v>528</v>
      </c>
      <c r="C113" s="100" t="s">
        <v>34</v>
      </c>
      <c r="D113" s="162">
        <v>1.3248</v>
      </c>
      <c r="E113" s="13">
        <v>227213.16050000003</v>
      </c>
      <c r="F113" s="73">
        <f>E113*D113</f>
        <v>301011.99503040005</v>
      </c>
      <c r="G113" s="354"/>
      <c r="H113" s="296">
        <v>14.2</v>
      </c>
      <c r="I113" s="303" t="s">
        <v>528</v>
      </c>
      <c r="J113" s="100" t="s">
        <v>34</v>
      </c>
      <c r="K113" s="162">
        <f>+CANTIDADES!H343</f>
        <v>1.3248</v>
      </c>
      <c r="L113" s="13">
        <f>+'APU FORMATO'!F1861</f>
        <v>227213.16050000003</v>
      </c>
      <c r="M113" s="73">
        <f>L113*K113</f>
        <v>301011.99503040005</v>
      </c>
      <c r="P113" s="325">
        <v>14.2</v>
      </c>
      <c r="Q113" s="326" t="s">
        <v>528</v>
      </c>
      <c r="R113" s="327" t="s">
        <v>34</v>
      </c>
      <c r="S113" s="412">
        <f>+CANTIDADES!H343</f>
        <v>1.3248</v>
      </c>
      <c r="T113" s="400">
        <f>+'APU FORMATO'!F1861</f>
        <v>227213.16050000003</v>
      </c>
      <c r="U113" s="329">
        <f t="shared" si="15"/>
        <v>301012</v>
      </c>
    </row>
    <row r="114" spans="1:22" x14ac:dyDescent="0.2">
      <c r="A114" s="296">
        <v>14.3</v>
      </c>
      <c r="B114" s="303" t="s">
        <v>54</v>
      </c>
      <c r="C114" s="100" t="s">
        <v>55</v>
      </c>
      <c r="D114" s="100">
        <v>2</v>
      </c>
      <c r="E114" s="13">
        <v>92577.943150000006</v>
      </c>
      <c r="F114" s="73">
        <f t="shared" ref="F114:F120" si="22">E114*D114</f>
        <v>185155.88630000001</v>
      </c>
      <c r="G114" s="354"/>
      <c r="H114" s="296">
        <v>14.3</v>
      </c>
      <c r="I114" s="303" t="s">
        <v>54</v>
      </c>
      <c r="J114" s="100" t="s">
        <v>55</v>
      </c>
      <c r="K114" s="346">
        <f>+CANTIDADES!H346</f>
        <v>2</v>
      </c>
      <c r="L114" s="349">
        <f>+'APU FORMATO'!F1891</f>
        <v>92577.943150000006</v>
      </c>
      <c r="M114" s="347">
        <f t="shared" ref="M114:M120" si="23">L114*K114</f>
        <v>185155.88630000001</v>
      </c>
      <c r="N114" s="1" t="s">
        <v>909</v>
      </c>
      <c r="P114" s="325">
        <v>14.3</v>
      </c>
      <c r="Q114" s="326" t="s">
        <v>54</v>
      </c>
      <c r="R114" s="327" t="s">
        <v>55</v>
      </c>
      <c r="S114" s="327">
        <v>4</v>
      </c>
      <c r="T114" s="400">
        <v>135000</v>
      </c>
      <c r="U114" s="329">
        <f t="shared" si="15"/>
        <v>540000</v>
      </c>
      <c r="V114" s="96"/>
    </row>
    <row r="115" spans="1:22" ht="25.5" x14ac:dyDescent="0.2">
      <c r="A115" s="296">
        <v>14.4</v>
      </c>
      <c r="B115" s="303" t="s">
        <v>864</v>
      </c>
      <c r="C115" s="100" t="s">
        <v>41</v>
      </c>
      <c r="D115" s="100">
        <v>70.55</v>
      </c>
      <c r="E115" s="349">
        <v>131690.64915000001</v>
      </c>
      <c r="F115" s="73">
        <f t="shared" si="22"/>
        <v>9290775.2975325007</v>
      </c>
      <c r="G115" s="354"/>
      <c r="H115" s="296">
        <v>14.4</v>
      </c>
      <c r="I115" s="303" t="s">
        <v>864</v>
      </c>
      <c r="J115" s="100" t="s">
        <v>41</v>
      </c>
      <c r="K115" s="100">
        <f>+CANTIDADES!H347</f>
        <v>70.55</v>
      </c>
      <c r="L115" s="349">
        <f>85000*2.4</f>
        <v>204000</v>
      </c>
      <c r="M115" s="73">
        <f t="shared" si="23"/>
        <v>14392200</v>
      </c>
      <c r="P115" s="325">
        <v>14.4</v>
      </c>
      <c r="Q115" s="326" t="s">
        <v>864</v>
      </c>
      <c r="R115" s="327" t="s">
        <v>41</v>
      </c>
      <c r="S115" s="327">
        <f>+CANTIDADES!H347</f>
        <v>70.55</v>
      </c>
      <c r="T115" s="400">
        <f>75000*2.4</f>
        <v>180000</v>
      </c>
      <c r="U115" s="329">
        <f t="shared" si="15"/>
        <v>12699000</v>
      </c>
      <c r="V115" s="96"/>
    </row>
    <row r="116" spans="1:22" ht="25.5" x14ac:dyDescent="0.2">
      <c r="A116" s="296">
        <v>14.5</v>
      </c>
      <c r="B116" s="303" t="s">
        <v>61</v>
      </c>
      <c r="C116" s="100" t="s">
        <v>41</v>
      </c>
      <c r="D116" s="100">
        <v>43.5</v>
      </c>
      <c r="E116" s="349">
        <v>48648.86677500001</v>
      </c>
      <c r="F116" s="73">
        <f t="shared" si="22"/>
        <v>2116225.7047125003</v>
      </c>
      <c r="G116" s="354"/>
      <c r="H116" s="296">
        <v>14.5</v>
      </c>
      <c r="I116" s="303" t="s">
        <v>61</v>
      </c>
      <c r="J116" s="100" t="s">
        <v>41</v>
      </c>
      <c r="K116" s="100">
        <f>+CANTIDADES!H353</f>
        <v>43.5</v>
      </c>
      <c r="L116" s="349">
        <f>+'APU FORMATO'!F1935</f>
        <v>48648.86677500001</v>
      </c>
      <c r="M116" s="73">
        <f t="shared" si="23"/>
        <v>2116225.7047125003</v>
      </c>
      <c r="N116" s="382" t="s">
        <v>906</v>
      </c>
      <c r="P116" s="325">
        <v>14.5</v>
      </c>
      <c r="Q116" s="326" t="s">
        <v>61</v>
      </c>
      <c r="R116" s="327" t="s">
        <v>41</v>
      </c>
      <c r="S116" s="327">
        <f>+CANTIDADES!H353</f>
        <v>43.5</v>
      </c>
      <c r="T116" s="400">
        <v>120000</v>
      </c>
      <c r="U116" s="329">
        <f t="shared" si="15"/>
        <v>5220000</v>
      </c>
      <c r="V116" s="382" t="s">
        <v>906</v>
      </c>
    </row>
    <row r="117" spans="1:22" ht="51" x14ac:dyDescent="0.2">
      <c r="A117" s="296">
        <v>14.6</v>
      </c>
      <c r="B117" s="303" t="s">
        <v>230</v>
      </c>
      <c r="C117" s="100" t="s">
        <v>34</v>
      </c>
      <c r="D117" s="100">
        <v>25.799999999999997</v>
      </c>
      <c r="E117" s="13">
        <v>124549.18635</v>
      </c>
      <c r="F117" s="73">
        <f t="shared" si="22"/>
        <v>3213369.0078299996</v>
      </c>
      <c r="G117" s="354"/>
      <c r="H117" s="296">
        <v>14.6</v>
      </c>
      <c r="I117" s="303" t="s">
        <v>230</v>
      </c>
      <c r="J117" s="100" t="s">
        <v>34</v>
      </c>
      <c r="K117" s="100">
        <f>+CANTIDADES!H354</f>
        <v>25.799999999999997</v>
      </c>
      <c r="L117" s="13">
        <f>+'APU FORMATO'!F1958</f>
        <v>124549.18635</v>
      </c>
      <c r="M117" s="73">
        <f t="shared" si="23"/>
        <v>3213369.0078299996</v>
      </c>
      <c r="P117" s="325">
        <v>14.6</v>
      </c>
      <c r="Q117" s="326" t="s">
        <v>230</v>
      </c>
      <c r="R117" s="327" t="s">
        <v>34</v>
      </c>
      <c r="S117" s="327">
        <f>+CANTIDADES!H354</f>
        <v>25.799999999999997</v>
      </c>
      <c r="T117" s="400">
        <f>+'APU FORMATO'!F1958</f>
        <v>124549.18635</v>
      </c>
      <c r="U117" s="329">
        <f t="shared" si="15"/>
        <v>3213369</v>
      </c>
      <c r="V117" s="96"/>
    </row>
    <row r="118" spans="1:22" ht="25.5" x14ac:dyDescent="0.2">
      <c r="A118" s="296">
        <v>14.7</v>
      </c>
      <c r="B118" s="303" t="s">
        <v>862</v>
      </c>
      <c r="C118" s="100" t="s">
        <v>41</v>
      </c>
      <c r="D118" s="100">
        <v>34</v>
      </c>
      <c r="E118" s="13">
        <v>45955.624769999995</v>
      </c>
      <c r="F118" s="73">
        <f t="shared" si="22"/>
        <v>1562491.2421799998</v>
      </c>
      <c r="G118" s="354"/>
      <c r="H118" s="296">
        <v>14.7</v>
      </c>
      <c r="I118" s="383" t="s">
        <v>910</v>
      </c>
      <c r="J118" s="100" t="s">
        <v>41</v>
      </c>
      <c r="K118" s="346">
        <f>+CANTIDADES!H356</f>
        <v>68</v>
      </c>
      <c r="L118" s="349">
        <f>+'APU FORMATO'!F1982</f>
        <v>68499.296520000004</v>
      </c>
      <c r="M118" s="73">
        <f t="shared" si="23"/>
        <v>4657952.1633600006</v>
      </c>
      <c r="N118" s="1" t="s">
        <v>911</v>
      </c>
      <c r="P118" s="325">
        <v>14.7</v>
      </c>
      <c r="Q118" s="388" t="s">
        <v>910</v>
      </c>
      <c r="R118" s="327" t="s">
        <v>41</v>
      </c>
      <c r="S118" s="327">
        <f>+CANTIDADES!H356</f>
        <v>68</v>
      </c>
      <c r="T118" s="400">
        <f>+'APU FORMATO'!F1982</f>
        <v>68499.296520000004</v>
      </c>
      <c r="U118" s="329">
        <f t="shared" si="15"/>
        <v>4657952</v>
      </c>
      <c r="V118" s="96" t="s">
        <v>911</v>
      </c>
    </row>
    <row r="119" spans="1:22" ht="25.5" x14ac:dyDescent="0.2">
      <c r="A119" s="296">
        <v>14.8</v>
      </c>
      <c r="B119" s="303" t="s">
        <v>370</v>
      </c>
      <c r="C119" s="100" t="s">
        <v>34</v>
      </c>
      <c r="D119" s="100">
        <v>9.8999999999999986</v>
      </c>
      <c r="E119" s="13">
        <v>183308.44704999999</v>
      </c>
      <c r="F119" s="73">
        <f t="shared" si="22"/>
        <v>1814753.6257949995</v>
      </c>
      <c r="G119" s="354"/>
      <c r="H119" s="296">
        <v>14.8</v>
      </c>
      <c r="I119" s="303" t="s">
        <v>370</v>
      </c>
      <c r="J119" s="100" t="s">
        <v>34</v>
      </c>
      <c r="K119" s="100">
        <f>+CANTIDADES!H360</f>
        <v>9.8999999999999986</v>
      </c>
      <c r="L119" s="13">
        <f>+'APU FORMATO'!F2010</f>
        <v>183308.44704999999</v>
      </c>
      <c r="M119" s="73">
        <f t="shared" si="23"/>
        <v>1814753.6257949995</v>
      </c>
      <c r="P119" s="325">
        <v>14.8</v>
      </c>
      <c r="Q119" s="326" t="s">
        <v>370</v>
      </c>
      <c r="R119" s="327" t="s">
        <v>34</v>
      </c>
      <c r="S119" s="327">
        <f>+CANTIDADES!H360</f>
        <v>9.8999999999999986</v>
      </c>
      <c r="T119" s="400">
        <f>+'APU FORMATO'!F2010</f>
        <v>183308.44704999999</v>
      </c>
      <c r="U119" s="329">
        <f t="shared" si="15"/>
        <v>1814754</v>
      </c>
      <c r="V119" s="96"/>
    </row>
    <row r="120" spans="1:22" x14ac:dyDescent="0.2">
      <c r="A120" s="296">
        <v>14.9</v>
      </c>
      <c r="B120" s="303" t="s">
        <v>398</v>
      </c>
      <c r="C120" s="100" t="s">
        <v>33</v>
      </c>
      <c r="D120" s="100">
        <v>2</v>
      </c>
      <c r="E120" s="13">
        <v>533535.87625000009</v>
      </c>
      <c r="F120" s="73">
        <f t="shared" si="22"/>
        <v>1067071.7525000002</v>
      </c>
      <c r="G120" s="354"/>
      <c r="H120" s="296">
        <v>14.9</v>
      </c>
      <c r="I120" s="348" t="s">
        <v>398</v>
      </c>
      <c r="J120" s="346" t="s">
        <v>33</v>
      </c>
      <c r="K120" s="346">
        <f>+CANTIDADES!H363</f>
        <v>2</v>
      </c>
      <c r="L120" s="349">
        <f>+'APU FORMATO'!F2031</f>
        <v>533535.87625000009</v>
      </c>
      <c r="M120" s="347">
        <f t="shared" si="23"/>
        <v>1067071.7525000002</v>
      </c>
      <c r="N120" s="1" t="s">
        <v>907</v>
      </c>
      <c r="P120" s="325">
        <v>14.9</v>
      </c>
      <c r="Q120" s="326" t="s">
        <v>398</v>
      </c>
      <c r="R120" s="327" t="s">
        <v>33</v>
      </c>
      <c r="S120" s="327">
        <f>+CANTIDADES!H363</f>
        <v>2</v>
      </c>
      <c r="T120" s="400">
        <f>+'APU FORMATO'!F2031</f>
        <v>533535.87625000009</v>
      </c>
      <c r="U120" s="329">
        <f t="shared" si="15"/>
        <v>1067072</v>
      </c>
      <c r="V120" s="96" t="s">
        <v>907</v>
      </c>
    </row>
    <row r="121" spans="1:22" x14ac:dyDescent="0.2">
      <c r="A121" s="294">
        <v>15</v>
      </c>
      <c r="B121" s="301" t="s">
        <v>29</v>
      </c>
      <c r="C121" s="7"/>
      <c r="D121" s="7"/>
      <c r="E121" s="7"/>
      <c r="F121" s="69"/>
      <c r="G121" s="354"/>
      <c r="H121" s="294">
        <v>15</v>
      </c>
      <c r="I121" s="301" t="s">
        <v>29</v>
      </c>
      <c r="J121" s="7"/>
      <c r="K121" s="7"/>
      <c r="L121" s="7"/>
      <c r="M121" s="69"/>
      <c r="P121" s="410">
        <v>15</v>
      </c>
      <c r="Q121" s="405" t="s">
        <v>29</v>
      </c>
      <c r="R121" s="406"/>
      <c r="S121" s="406"/>
      <c r="T121" s="406"/>
      <c r="U121" s="407"/>
      <c r="V121" s="96"/>
    </row>
    <row r="122" spans="1:22" s="330" customFormat="1" ht="25.5" x14ac:dyDescent="0.25">
      <c r="A122" s="325">
        <v>15.1</v>
      </c>
      <c r="B122" s="326" t="s">
        <v>56</v>
      </c>
      <c r="C122" s="327" t="s">
        <v>41</v>
      </c>
      <c r="D122" s="327">
        <v>729.71</v>
      </c>
      <c r="E122" s="328">
        <v>4091.8032500000004</v>
      </c>
      <c r="F122" s="329">
        <f>E122*D122</f>
        <v>2985829.7495575002</v>
      </c>
      <c r="G122" s="356"/>
      <c r="H122" s="325">
        <v>15.1</v>
      </c>
      <c r="I122" s="326" t="s">
        <v>56</v>
      </c>
      <c r="J122" s="327" t="s">
        <v>41</v>
      </c>
      <c r="K122" s="352">
        <f>+CANTIDADES!H365</f>
        <v>729.71</v>
      </c>
      <c r="L122" s="353">
        <f>+'APU FORMATO'!F2051</f>
        <v>3461.8032499999999</v>
      </c>
      <c r="M122" s="329">
        <f>L122*K122</f>
        <v>2526112.4495575</v>
      </c>
      <c r="N122" s="384" t="s">
        <v>912</v>
      </c>
      <c r="P122" s="325">
        <v>15.1</v>
      </c>
      <c r="Q122" s="326" t="s">
        <v>56</v>
      </c>
      <c r="R122" s="327" t="s">
        <v>41</v>
      </c>
      <c r="S122" s="327">
        <f>+CANTIDADES!H365</f>
        <v>729.71</v>
      </c>
      <c r="T122" s="400">
        <f>+'APU FORMATO'!F2051</f>
        <v>3461.8032499999999</v>
      </c>
      <c r="U122" s="329">
        <f t="shared" si="15"/>
        <v>2526112</v>
      </c>
      <c r="V122" s="384" t="s">
        <v>912</v>
      </c>
    </row>
    <row r="123" spans="1:22" x14ac:dyDescent="0.2">
      <c r="A123" s="294">
        <v>16</v>
      </c>
      <c r="B123" s="301" t="s">
        <v>30</v>
      </c>
      <c r="C123" s="7"/>
      <c r="D123" s="7"/>
      <c r="E123" s="7"/>
      <c r="F123" s="69"/>
      <c r="G123" s="354"/>
      <c r="H123" s="294">
        <v>16</v>
      </c>
      <c r="I123" s="301" t="s">
        <v>30</v>
      </c>
      <c r="J123" s="7"/>
      <c r="K123" s="7"/>
      <c r="L123" s="7"/>
      <c r="M123" s="69"/>
      <c r="P123" s="410">
        <v>16</v>
      </c>
      <c r="Q123" s="405" t="s">
        <v>30</v>
      </c>
      <c r="R123" s="406"/>
      <c r="S123" s="406"/>
      <c r="T123" s="406"/>
      <c r="U123" s="407"/>
      <c r="V123" s="96"/>
    </row>
    <row r="124" spans="1:22" ht="51" x14ac:dyDescent="0.2">
      <c r="A124" s="296">
        <v>16.100000000000001</v>
      </c>
      <c r="B124" s="303" t="s">
        <v>888</v>
      </c>
      <c r="C124" s="100" t="s">
        <v>55</v>
      </c>
      <c r="D124" s="100">
        <v>2</v>
      </c>
      <c r="E124" s="13">
        <v>3048831.21875</v>
      </c>
      <c r="F124" s="73">
        <f>E124*D124</f>
        <v>6097662.4375</v>
      </c>
      <c r="G124" s="354"/>
      <c r="H124" s="296">
        <v>16.100000000000001</v>
      </c>
      <c r="I124" s="303" t="s">
        <v>888</v>
      </c>
      <c r="J124" s="100" t="s">
        <v>55</v>
      </c>
      <c r="K124" s="100">
        <f>+CANTIDADES!H367</f>
        <v>2</v>
      </c>
      <c r="L124" s="13">
        <f>+'APU FORMATO'!F2079</f>
        <v>2248831.21875</v>
      </c>
      <c r="M124" s="73">
        <f>L124*K124</f>
        <v>4497662.4375</v>
      </c>
      <c r="P124" s="325">
        <v>16.100000000000001</v>
      </c>
      <c r="Q124" s="326" t="s">
        <v>888</v>
      </c>
      <c r="R124" s="327" t="s">
        <v>55</v>
      </c>
      <c r="S124" s="327">
        <f>+CANTIDADES!H367</f>
        <v>2</v>
      </c>
      <c r="T124" s="328">
        <f>+'APU FORMATO'!F2079</f>
        <v>2248831.21875</v>
      </c>
      <c r="U124" s="329">
        <f t="shared" si="15"/>
        <v>4497662</v>
      </c>
      <c r="V124" s="96"/>
    </row>
    <row r="125" spans="1:22" x14ac:dyDescent="0.2">
      <c r="A125" s="294">
        <v>17</v>
      </c>
      <c r="B125" s="301" t="s">
        <v>31</v>
      </c>
      <c r="C125" s="7"/>
      <c r="D125" s="7"/>
      <c r="E125" s="7"/>
      <c r="F125" s="69"/>
      <c r="G125" s="354"/>
      <c r="H125" s="294">
        <v>17</v>
      </c>
      <c r="I125" s="301" t="s">
        <v>31</v>
      </c>
      <c r="J125" s="7"/>
      <c r="K125" s="7"/>
      <c r="L125" s="7"/>
      <c r="M125" s="69"/>
      <c r="P125" s="410">
        <v>17</v>
      </c>
      <c r="Q125" s="405" t="s">
        <v>31</v>
      </c>
      <c r="R125" s="406"/>
      <c r="S125" s="406"/>
      <c r="T125" s="406"/>
      <c r="U125" s="407"/>
      <c r="V125" s="96"/>
    </row>
    <row r="126" spans="1:22" x14ac:dyDescent="0.2">
      <c r="A126" s="298"/>
      <c r="B126" s="304" t="s">
        <v>62</v>
      </c>
      <c r="C126" s="58" t="s">
        <v>34</v>
      </c>
      <c r="D126" s="58">
        <v>1600</v>
      </c>
      <c r="E126" s="59">
        <v>975.10000000000014</v>
      </c>
      <c r="F126" s="94">
        <f>E126*D126</f>
        <v>1560160.0000000002</v>
      </c>
      <c r="G126" s="354"/>
      <c r="H126" s="298"/>
      <c r="I126" s="304" t="s">
        <v>62</v>
      </c>
      <c r="J126" s="58" t="s">
        <v>34</v>
      </c>
      <c r="K126" s="58">
        <f>+CANTIDADES!H370</f>
        <v>1600</v>
      </c>
      <c r="L126" s="59">
        <f>+'APU FORMATO'!F2097</f>
        <v>975.10000000000014</v>
      </c>
      <c r="M126" s="94">
        <f>L126*K126</f>
        <v>1560160.0000000002</v>
      </c>
      <c r="P126" s="416"/>
      <c r="Q126" s="417" t="s">
        <v>62</v>
      </c>
      <c r="R126" s="418" t="s">
        <v>34</v>
      </c>
      <c r="S126" s="418">
        <f>+CANTIDADES!H370</f>
        <v>1600</v>
      </c>
      <c r="T126" s="419">
        <f>+'APU FORMATO'!F2097</f>
        <v>975.10000000000014</v>
      </c>
      <c r="U126" s="420">
        <f t="shared" si="15"/>
        <v>1560160</v>
      </c>
      <c r="V126" s="96"/>
    </row>
    <row r="127" spans="1:22" s="96" customFormat="1" x14ac:dyDescent="0.2">
      <c r="A127" s="343"/>
      <c r="B127" s="357"/>
      <c r="C127" s="358"/>
      <c r="D127" s="359"/>
      <c r="E127" s="360"/>
      <c r="F127" s="361"/>
      <c r="G127" s="354"/>
      <c r="H127" s="343"/>
      <c r="I127" s="357"/>
      <c r="J127" s="358"/>
      <c r="K127" s="359"/>
      <c r="L127" s="360"/>
      <c r="M127" s="361"/>
      <c r="P127" s="421"/>
      <c r="Q127" s="422"/>
      <c r="R127" s="423"/>
      <c r="S127" s="424"/>
      <c r="T127" s="425"/>
      <c r="U127" s="426"/>
    </row>
    <row r="128" spans="1:22" s="96" customFormat="1" x14ac:dyDescent="0.2">
      <c r="A128" s="343"/>
      <c r="B128" s="357"/>
      <c r="C128" s="358"/>
      <c r="D128" s="359"/>
      <c r="E128" s="360"/>
      <c r="F128" s="361"/>
      <c r="G128" s="354"/>
      <c r="H128" s="294">
        <v>18</v>
      </c>
      <c r="I128" s="301" t="s">
        <v>894</v>
      </c>
      <c r="J128" s="7"/>
      <c r="K128" s="7"/>
      <c r="L128" s="7"/>
      <c r="M128" s="69"/>
      <c r="P128" s="410"/>
      <c r="Q128" s="405" t="s">
        <v>894</v>
      </c>
      <c r="R128" s="406"/>
      <c r="S128" s="406"/>
      <c r="T128" s="406"/>
      <c r="U128" s="407"/>
      <c r="V128" s="393" t="e">
        <f>SUM(M128:M144)</f>
        <v>#REF!</v>
      </c>
    </row>
    <row r="129" spans="1:22" s="96" customFormat="1" x14ac:dyDescent="0.2">
      <c r="A129" s="291"/>
      <c r="B129" s="300"/>
      <c r="C129" s="98"/>
      <c r="D129" s="98"/>
      <c r="E129" s="13"/>
      <c r="F129" s="95"/>
      <c r="G129" s="354"/>
      <c r="H129" s="291">
        <v>1.3</v>
      </c>
      <c r="I129" s="300" t="s">
        <v>7</v>
      </c>
      <c r="J129" s="98" t="s">
        <v>34</v>
      </c>
      <c r="K129" s="98" t="e">
        <f>+#REF!</f>
        <v>#REF!</v>
      </c>
      <c r="L129" s="13">
        <f>+'APU FORMATO'!F45</f>
        <v>11823.373695</v>
      </c>
      <c r="M129" s="347" t="e">
        <f>L129*K129</f>
        <v>#REF!</v>
      </c>
      <c r="P129" s="401">
        <v>1.3</v>
      </c>
      <c r="Q129" s="402" t="s">
        <v>7</v>
      </c>
      <c r="R129" s="403" t="s">
        <v>34</v>
      </c>
      <c r="S129" s="403">
        <f>+CANTIDADES!H11</f>
        <v>1600</v>
      </c>
      <c r="T129" s="328">
        <f>6800</f>
        <v>6800</v>
      </c>
      <c r="U129" s="329">
        <f t="shared" si="15"/>
        <v>10880000</v>
      </c>
    </row>
    <row r="130" spans="1:22" s="96" customFormat="1" x14ac:dyDescent="0.2">
      <c r="A130" s="291"/>
      <c r="B130" s="300"/>
      <c r="C130" s="98"/>
      <c r="D130" s="98"/>
      <c r="E130" s="13"/>
      <c r="F130" s="95"/>
      <c r="G130" s="354"/>
      <c r="H130" s="291"/>
      <c r="I130" s="300" t="s">
        <v>898</v>
      </c>
      <c r="J130" s="98"/>
      <c r="K130" s="98"/>
      <c r="L130" s="13"/>
      <c r="M130" s="95">
        <v>2300000</v>
      </c>
      <c r="P130" s="401">
        <v>1.4</v>
      </c>
      <c r="Q130" s="402" t="s">
        <v>935</v>
      </c>
      <c r="R130" s="403" t="s">
        <v>934</v>
      </c>
      <c r="S130" s="403">
        <v>1</v>
      </c>
      <c r="T130" s="329">
        <f>750000+1200000</f>
        <v>1950000</v>
      </c>
      <c r="U130" s="329">
        <f>750000+1200000</f>
        <v>1950000</v>
      </c>
    </row>
    <row r="131" spans="1:22" s="96" customFormat="1" x14ac:dyDescent="0.2">
      <c r="A131" s="293"/>
      <c r="B131" s="300"/>
      <c r="C131" s="98"/>
      <c r="D131" s="98"/>
      <c r="E131" s="13"/>
      <c r="F131" s="95"/>
      <c r="G131" s="354"/>
      <c r="H131" s="293">
        <v>2.1</v>
      </c>
      <c r="I131" s="300" t="s">
        <v>8</v>
      </c>
      <c r="J131" s="98" t="s">
        <v>42</v>
      </c>
      <c r="K131" s="98" t="e">
        <f>+#REF!</f>
        <v>#REF!</v>
      </c>
      <c r="L131" s="13" t="e">
        <f>+#REF!</f>
        <v>#REF!</v>
      </c>
      <c r="M131" s="347" t="e">
        <f t="shared" ref="M131" si="24">L131*K131</f>
        <v>#REF!</v>
      </c>
      <c r="P131" s="408">
        <v>2.1</v>
      </c>
      <c r="Q131" s="402" t="s">
        <v>8</v>
      </c>
      <c r="R131" s="403" t="s">
        <v>42</v>
      </c>
      <c r="S131" s="403">
        <f>+CANTIDADES!H13</f>
        <v>360</v>
      </c>
      <c r="T131" s="328">
        <f>+'APU FORMATO'!F67</f>
        <v>10091.578983333333</v>
      </c>
      <c r="U131" s="329">
        <f t="shared" si="15"/>
        <v>3632968</v>
      </c>
    </row>
    <row r="132" spans="1:22" ht="25.5" x14ac:dyDescent="0.2">
      <c r="A132" s="296">
        <v>7.1</v>
      </c>
      <c r="B132" s="372" t="s">
        <v>335</v>
      </c>
      <c r="C132" s="373" t="s">
        <v>33</v>
      </c>
      <c r="D132" s="373">
        <v>3</v>
      </c>
      <c r="E132" s="374">
        <v>2264400</v>
      </c>
      <c r="F132" s="375">
        <f t="shared" ref="F132:F144" si="25">D132*E132</f>
        <v>6793200</v>
      </c>
      <c r="G132" s="376"/>
      <c r="H132" s="296">
        <v>7.1</v>
      </c>
      <c r="I132" s="303" t="s">
        <v>335</v>
      </c>
      <c r="J132" s="100" t="s">
        <v>33</v>
      </c>
      <c r="K132" s="100">
        <v>3</v>
      </c>
      <c r="L132" s="56">
        <v>2264400</v>
      </c>
      <c r="M132" s="73"/>
      <c r="P132" s="325">
        <v>7.1</v>
      </c>
      <c r="Q132" s="326" t="s">
        <v>335</v>
      </c>
      <c r="R132" s="327" t="s">
        <v>33</v>
      </c>
      <c r="S132" s="327">
        <v>3</v>
      </c>
      <c r="T132" s="400">
        <v>1664400</v>
      </c>
      <c r="U132" s="329">
        <f t="shared" si="15"/>
        <v>4993200</v>
      </c>
      <c r="V132" s="96"/>
    </row>
    <row r="133" spans="1:22" x14ac:dyDescent="0.2">
      <c r="A133" s="296">
        <v>7.2</v>
      </c>
      <c r="B133" s="372" t="s">
        <v>336</v>
      </c>
      <c r="C133" s="373" t="s">
        <v>33</v>
      </c>
      <c r="D133" s="373">
        <v>3</v>
      </c>
      <c r="E133" s="374">
        <v>264616</v>
      </c>
      <c r="F133" s="375">
        <f t="shared" si="25"/>
        <v>793848</v>
      </c>
      <c r="G133" s="376"/>
      <c r="H133" s="296">
        <v>7.2</v>
      </c>
      <c r="I133" s="303" t="s">
        <v>336</v>
      </c>
      <c r="J133" s="100" t="s">
        <v>33</v>
      </c>
      <c r="K133" s="100">
        <v>3</v>
      </c>
      <c r="L133" s="56">
        <v>264616</v>
      </c>
      <c r="M133" s="73"/>
      <c r="P133" s="325">
        <v>7.2</v>
      </c>
      <c r="Q133" s="326" t="s">
        <v>336</v>
      </c>
      <c r="R133" s="327" t="s">
        <v>33</v>
      </c>
      <c r="S133" s="327">
        <v>3</v>
      </c>
      <c r="T133" s="400">
        <v>264616</v>
      </c>
      <c r="U133" s="329">
        <f t="shared" si="15"/>
        <v>793848</v>
      </c>
      <c r="V133" s="96"/>
    </row>
    <row r="134" spans="1:22" x14ac:dyDescent="0.2">
      <c r="A134" s="296">
        <v>7.3</v>
      </c>
      <c r="B134" s="372" t="s">
        <v>337</v>
      </c>
      <c r="C134" s="373" t="s">
        <v>33</v>
      </c>
      <c r="D134" s="373">
        <v>3</v>
      </c>
      <c r="E134" s="374">
        <v>110080</v>
      </c>
      <c r="F134" s="375">
        <f t="shared" si="25"/>
        <v>330240</v>
      </c>
      <c r="G134" s="376"/>
      <c r="H134" s="296">
        <v>7.3</v>
      </c>
      <c r="I134" s="303" t="s">
        <v>337</v>
      </c>
      <c r="J134" s="100" t="s">
        <v>33</v>
      </c>
      <c r="K134" s="100">
        <v>3</v>
      </c>
      <c r="L134" s="56">
        <v>110080</v>
      </c>
      <c r="M134" s="73"/>
      <c r="P134" s="325">
        <v>7.3</v>
      </c>
      <c r="Q134" s="326" t="s">
        <v>337</v>
      </c>
      <c r="R134" s="327" t="s">
        <v>33</v>
      </c>
      <c r="S134" s="327">
        <v>3</v>
      </c>
      <c r="T134" s="400">
        <v>110080</v>
      </c>
      <c r="U134" s="329">
        <f t="shared" si="15"/>
        <v>330240</v>
      </c>
      <c r="V134" s="96"/>
    </row>
    <row r="135" spans="1:22" ht="25.5" x14ac:dyDescent="0.2">
      <c r="A135" s="296">
        <v>7.4</v>
      </c>
      <c r="B135" s="372" t="s">
        <v>338</v>
      </c>
      <c r="C135" s="373" t="s">
        <v>33</v>
      </c>
      <c r="D135" s="373">
        <v>2</v>
      </c>
      <c r="E135" s="374">
        <v>618784</v>
      </c>
      <c r="F135" s="375">
        <f t="shared" si="25"/>
        <v>1237568</v>
      </c>
      <c r="G135" s="376"/>
      <c r="H135" s="296">
        <v>7.4</v>
      </c>
      <c r="I135" s="303" t="s">
        <v>338</v>
      </c>
      <c r="J135" s="100" t="s">
        <v>33</v>
      </c>
      <c r="K135" s="100">
        <v>2</v>
      </c>
      <c r="L135" s="56">
        <v>618784</v>
      </c>
      <c r="M135" s="73"/>
      <c r="P135" s="325">
        <v>7.4</v>
      </c>
      <c r="Q135" s="326" t="s">
        <v>338</v>
      </c>
      <c r="R135" s="327" t="s">
        <v>33</v>
      </c>
      <c r="S135" s="327">
        <v>2</v>
      </c>
      <c r="T135" s="400">
        <v>618784</v>
      </c>
      <c r="U135" s="329">
        <f t="shared" si="15"/>
        <v>1237568</v>
      </c>
      <c r="V135" s="96"/>
    </row>
    <row r="136" spans="1:22" ht="25.5" x14ac:dyDescent="0.2">
      <c r="A136" s="296">
        <v>7.5</v>
      </c>
      <c r="B136" s="372" t="s">
        <v>339</v>
      </c>
      <c r="C136" s="373" t="s">
        <v>33</v>
      </c>
      <c r="D136" s="373">
        <v>1</v>
      </c>
      <c r="E136" s="374">
        <v>1203682</v>
      </c>
      <c r="F136" s="375">
        <f t="shared" si="25"/>
        <v>1203682</v>
      </c>
      <c r="G136" s="376"/>
      <c r="H136" s="296">
        <v>7.5</v>
      </c>
      <c r="I136" s="303" t="s">
        <v>339</v>
      </c>
      <c r="J136" s="100" t="s">
        <v>33</v>
      </c>
      <c r="K136" s="100">
        <v>1</v>
      </c>
      <c r="L136" s="56">
        <v>1203682</v>
      </c>
      <c r="M136" s="73"/>
      <c r="P136" s="325">
        <v>7.5</v>
      </c>
      <c r="Q136" s="326" t="s">
        <v>339</v>
      </c>
      <c r="R136" s="327" t="s">
        <v>33</v>
      </c>
      <c r="S136" s="327">
        <v>1</v>
      </c>
      <c r="T136" s="400">
        <v>1203682</v>
      </c>
      <c r="U136" s="329">
        <f t="shared" ref="U136:U144" si="26">ROUND(T136*S136,0)</f>
        <v>1203682</v>
      </c>
      <c r="V136" s="96"/>
    </row>
    <row r="137" spans="1:22" ht="25.5" x14ac:dyDescent="0.2">
      <c r="A137" s="296">
        <v>7.6</v>
      </c>
      <c r="B137" s="372" t="s">
        <v>340</v>
      </c>
      <c r="C137" s="373" t="s">
        <v>33</v>
      </c>
      <c r="D137" s="373">
        <v>1</v>
      </c>
      <c r="E137" s="374">
        <v>271292</v>
      </c>
      <c r="F137" s="375">
        <f t="shared" si="25"/>
        <v>271292</v>
      </c>
      <c r="G137" s="376"/>
      <c r="H137" s="296">
        <v>7.6</v>
      </c>
      <c r="I137" s="303" t="s">
        <v>340</v>
      </c>
      <c r="J137" s="100" t="s">
        <v>33</v>
      </c>
      <c r="K137" s="100">
        <v>1</v>
      </c>
      <c r="L137" s="56">
        <v>271292</v>
      </c>
      <c r="M137" s="73"/>
      <c r="P137" s="325">
        <v>7.6</v>
      </c>
      <c r="Q137" s="326" t="s">
        <v>340</v>
      </c>
      <c r="R137" s="327" t="s">
        <v>33</v>
      </c>
      <c r="S137" s="327">
        <v>1</v>
      </c>
      <c r="T137" s="400">
        <v>271292</v>
      </c>
      <c r="U137" s="329">
        <f t="shared" si="26"/>
        <v>271292</v>
      </c>
      <c r="V137" s="96"/>
    </row>
    <row r="138" spans="1:22" ht="25.5" x14ac:dyDescent="0.2">
      <c r="A138" s="296">
        <v>7.7</v>
      </c>
      <c r="B138" s="372" t="s">
        <v>341</v>
      </c>
      <c r="C138" s="373" t="s">
        <v>41</v>
      </c>
      <c r="D138" s="373">
        <v>110</v>
      </c>
      <c r="E138" s="374">
        <v>12152</v>
      </c>
      <c r="F138" s="375">
        <f t="shared" si="25"/>
        <v>1336720</v>
      </c>
      <c r="G138" s="376"/>
      <c r="H138" s="296">
        <v>7.7</v>
      </c>
      <c r="I138" s="303" t="s">
        <v>341</v>
      </c>
      <c r="J138" s="100" t="s">
        <v>41</v>
      </c>
      <c r="K138" s="100">
        <v>110</v>
      </c>
      <c r="L138" s="56">
        <v>12152</v>
      </c>
      <c r="M138" s="73"/>
      <c r="P138" s="325">
        <v>7.7</v>
      </c>
      <c r="Q138" s="326" t="s">
        <v>341</v>
      </c>
      <c r="R138" s="327" t="s">
        <v>41</v>
      </c>
      <c r="S138" s="327">
        <v>90</v>
      </c>
      <c r="T138" s="400">
        <v>12152</v>
      </c>
      <c r="U138" s="329">
        <f t="shared" si="26"/>
        <v>1093680</v>
      </c>
      <c r="V138" s="96"/>
    </row>
    <row r="139" spans="1:22" ht="38.25" x14ac:dyDescent="0.2">
      <c r="A139" s="296">
        <v>7.8</v>
      </c>
      <c r="B139" s="372" t="s">
        <v>342</v>
      </c>
      <c r="C139" s="373" t="s">
        <v>33</v>
      </c>
      <c r="D139" s="373">
        <v>2</v>
      </c>
      <c r="E139" s="374">
        <v>305155</v>
      </c>
      <c r="F139" s="375">
        <f t="shared" si="25"/>
        <v>610310</v>
      </c>
      <c r="G139" s="376"/>
      <c r="H139" s="296">
        <v>7.8</v>
      </c>
      <c r="I139" s="303" t="s">
        <v>342</v>
      </c>
      <c r="J139" s="100" t="s">
        <v>33</v>
      </c>
      <c r="K139" s="100">
        <v>2</v>
      </c>
      <c r="L139" s="56">
        <v>305155</v>
      </c>
      <c r="M139" s="73"/>
      <c r="P139" s="325">
        <v>7.8</v>
      </c>
      <c r="Q139" s="326" t="s">
        <v>342</v>
      </c>
      <c r="R139" s="327" t="s">
        <v>33</v>
      </c>
      <c r="S139" s="327">
        <v>2</v>
      </c>
      <c r="T139" s="400">
        <v>305155</v>
      </c>
      <c r="U139" s="329">
        <f t="shared" si="26"/>
        <v>610310</v>
      </c>
      <c r="V139" s="96"/>
    </row>
    <row r="140" spans="1:22" ht="25.5" x14ac:dyDescent="0.2">
      <c r="A140" s="296">
        <v>7.9</v>
      </c>
      <c r="B140" s="372" t="s">
        <v>343</v>
      </c>
      <c r="C140" s="373" t="s">
        <v>33</v>
      </c>
      <c r="D140" s="373">
        <v>2</v>
      </c>
      <c r="E140" s="374">
        <v>175490</v>
      </c>
      <c r="F140" s="375">
        <f t="shared" si="25"/>
        <v>350980</v>
      </c>
      <c r="G140" s="376"/>
      <c r="H140" s="296">
        <v>7.9</v>
      </c>
      <c r="I140" s="303" t="s">
        <v>343</v>
      </c>
      <c r="J140" s="100" t="s">
        <v>33</v>
      </c>
      <c r="K140" s="100">
        <v>2</v>
      </c>
      <c r="L140" s="56">
        <v>175490</v>
      </c>
      <c r="M140" s="73"/>
      <c r="P140" s="325">
        <v>7.9</v>
      </c>
      <c r="Q140" s="326" t="s">
        <v>343</v>
      </c>
      <c r="R140" s="327" t="s">
        <v>33</v>
      </c>
      <c r="S140" s="327">
        <v>2</v>
      </c>
      <c r="T140" s="400">
        <v>175490</v>
      </c>
      <c r="U140" s="329">
        <f t="shared" si="26"/>
        <v>350980</v>
      </c>
      <c r="V140" s="96"/>
    </row>
    <row r="141" spans="1:22" ht="25.5" x14ac:dyDescent="0.2">
      <c r="A141" s="297">
        <v>7.1</v>
      </c>
      <c r="B141" s="372" t="s">
        <v>344</v>
      </c>
      <c r="C141" s="373" t="s">
        <v>33</v>
      </c>
      <c r="D141" s="373">
        <v>1</v>
      </c>
      <c r="E141" s="374">
        <v>3446800</v>
      </c>
      <c r="F141" s="375">
        <f t="shared" si="25"/>
        <v>3446800</v>
      </c>
      <c r="G141" s="376"/>
      <c r="H141" s="297">
        <v>7.1</v>
      </c>
      <c r="I141" s="303" t="s">
        <v>344</v>
      </c>
      <c r="J141" s="100" t="s">
        <v>33</v>
      </c>
      <c r="K141" s="100">
        <v>1</v>
      </c>
      <c r="L141" s="56">
        <v>3446800</v>
      </c>
      <c r="M141" s="73"/>
      <c r="P141" s="414">
        <v>7.1</v>
      </c>
      <c r="Q141" s="326" t="s">
        <v>344</v>
      </c>
      <c r="R141" s="327" t="s">
        <v>33</v>
      </c>
      <c r="S141" s="327">
        <v>1</v>
      </c>
      <c r="T141" s="400">
        <v>3446800</v>
      </c>
      <c r="U141" s="329">
        <f t="shared" si="26"/>
        <v>3446800</v>
      </c>
      <c r="V141" s="96"/>
    </row>
    <row r="142" spans="1:22" ht="25.5" x14ac:dyDescent="0.2">
      <c r="A142" s="297">
        <v>7.11</v>
      </c>
      <c r="B142" s="372" t="s">
        <v>345</v>
      </c>
      <c r="C142" s="373" t="s">
        <v>33</v>
      </c>
      <c r="D142" s="373">
        <v>1</v>
      </c>
      <c r="E142" s="374">
        <v>2500000</v>
      </c>
      <c r="F142" s="375">
        <f t="shared" si="25"/>
        <v>2500000</v>
      </c>
      <c r="G142" s="376"/>
      <c r="H142" s="297">
        <v>7.11</v>
      </c>
      <c r="I142" s="303" t="s">
        <v>345</v>
      </c>
      <c r="J142" s="100" t="s">
        <v>33</v>
      </c>
      <c r="K142" s="100">
        <v>1</v>
      </c>
      <c r="L142" s="56">
        <v>2500000</v>
      </c>
      <c r="M142" s="73"/>
      <c r="P142" s="414">
        <v>7.11</v>
      </c>
      <c r="Q142" s="326" t="s">
        <v>345</v>
      </c>
      <c r="R142" s="327" t="s">
        <v>33</v>
      </c>
      <c r="S142" s="327">
        <v>1</v>
      </c>
      <c r="T142" s="400">
        <v>2501958.7999999998</v>
      </c>
      <c r="U142" s="329">
        <f t="shared" si="26"/>
        <v>2501959</v>
      </c>
      <c r="V142" s="96"/>
    </row>
    <row r="143" spans="1:22" x14ac:dyDescent="0.2">
      <c r="A143" s="297">
        <v>7.12</v>
      </c>
      <c r="B143" s="372" t="s">
        <v>346</v>
      </c>
      <c r="C143" s="373" t="s">
        <v>41</v>
      </c>
      <c r="D143" s="373">
        <v>1</v>
      </c>
      <c r="E143" s="374">
        <v>129253</v>
      </c>
      <c r="F143" s="377">
        <f t="shared" si="25"/>
        <v>129253</v>
      </c>
      <c r="G143" s="376"/>
      <c r="H143" s="297">
        <v>7.12</v>
      </c>
      <c r="I143" s="303" t="s">
        <v>346</v>
      </c>
      <c r="J143" s="100" t="s">
        <v>41</v>
      </c>
      <c r="K143" s="100">
        <v>1</v>
      </c>
      <c r="L143" s="56">
        <v>129253</v>
      </c>
      <c r="M143" s="75"/>
      <c r="P143" s="414">
        <v>7.12</v>
      </c>
      <c r="Q143" s="326" t="s">
        <v>346</v>
      </c>
      <c r="R143" s="327" t="s">
        <v>41</v>
      </c>
      <c r="S143" s="327">
        <v>1</v>
      </c>
      <c r="T143" s="400">
        <v>129253</v>
      </c>
      <c r="U143" s="329">
        <f t="shared" si="26"/>
        <v>129253</v>
      </c>
      <c r="V143" s="96"/>
    </row>
    <row r="144" spans="1:22" ht="13.5" thickBot="1" x14ac:dyDescent="0.25">
      <c r="A144" s="297">
        <v>7.13</v>
      </c>
      <c r="B144" s="372" t="s">
        <v>347</v>
      </c>
      <c r="C144" s="373" t="s">
        <v>33</v>
      </c>
      <c r="D144" s="373">
        <v>1</v>
      </c>
      <c r="E144" s="374">
        <v>1620000</v>
      </c>
      <c r="F144" s="377">
        <f t="shared" si="25"/>
        <v>1620000</v>
      </c>
      <c r="G144" s="376"/>
      <c r="H144" s="297">
        <v>7.13</v>
      </c>
      <c r="I144" s="303" t="s">
        <v>347</v>
      </c>
      <c r="J144" s="100" t="s">
        <v>33</v>
      </c>
      <c r="K144" s="100">
        <v>1</v>
      </c>
      <c r="L144" s="56">
        <v>1620000</v>
      </c>
      <c r="M144" s="75"/>
      <c r="P144" s="414">
        <v>7.13</v>
      </c>
      <c r="Q144" s="326" t="s">
        <v>347</v>
      </c>
      <c r="R144" s="327" t="s">
        <v>33</v>
      </c>
      <c r="S144" s="327">
        <v>1</v>
      </c>
      <c r="T144" s="400">
        <v>1620000</v>
      </c>
      <c r="U144" s="329">
        <f t="shared" si="26"/>
        <v>1620000</v>
      </c>
      <c r="V144" s="535"/>
    </row>
    <row r="145" spans="1:23" x14ac:dyDescent="0.2">
      <c r="A145" s="552" t="s">
        <v>892</v>
      </c>
      <c r="B145" s="553"/>
      <c r="C145" s="554"/>
      <c r="D145" s="567" t="s">
        <v>363</v>
      </c>
      <c r="E145" s="568"/>
      <c r="F145" s="77">
        <f>SUM(F6:F126)</f>
        <v>803783746.80353451</v>
      </c>
      <c r="G145" s="354"/>
      <c r="H145" s="552" t="s">
        <v>892</v>
      </c>
      <c r="I145" s="553"/>
      <c r="J145" s="554"/>
      <c r="K145" s="567" t="s">
        <v>363</v>
      </c>
      <c r="L145" s="568"/>
      <c r="M145" s="77">
        <f>SUM(M6:M126)</f>
        <v>718791075.40935242</v>
      </c>
      <c r="P145" s="552" t="s">
        <v>892</v>
      </c>
      <c r="Q145" s="553"/>
      <c r="R145" s="554"/>
      <c r="S145" s="567" t="s">
        <v>363</v>
      </c>
      <c r="T145" s="568"/>
      <c r="U145" s="395">
        <f>SUM(U6:U144)</f>
        <v>717000000</v>
      </c>
      <c r="V145" s="96"/>
      <c r="W145" s="536">
        <v>716999999.795048</v>
      </c>
    </row>
    <row r="146" spans="1:23" x14ac:dyDescent="0.2">
      <c r="A146" s="555"/>
      <c r="B146" s="556"/>
      <c r="C146" s="557"/>
      <c r="D146" s="550" t="s">
        <v>883</v>
      </c>
      <c r="E146" s="550"/>
      <c r="F146" s="78">
        <f>F145*22%</f>
        <v>176832424.29677761</v>
      </c>
      <c r="G146" s="354"/>
      <c r="H146" s="555"/>
      <c r="I146" s="556"/>
      <c r="J146" s="557"/>
      <c r="K146" s="550" t="s">
        <v>883</v>
      </c>
      <c r="L146" s="550"/>
      <c r="M146" s="78">
        <f>M145*22%</f>
        <v>158134036.59005752</v>
      </c>
      <c r="P146" s="555"/>
      <c r="Q146" s="556"/>
      <c r="R146" s="557"/>
      <c r="S146" s="550" t="s">
        <v>1131</v>
      </c>
      <c r="T146" s="550"/>
      <c r="U146" s="396">
        <f>ROUND(U145*23.45%,0)</f>
        <v>168136500</v>
      </c>
      <c r="V146" s="96"/>
    </row>
    <row r="147" spans="1:23" x14ac:dyDescent="0.2">
      <c r="A147" s="555"/>
      <c r="B147" s="556"/>
      <c r="C147" s="557"/>
      <c r="D147" s="550" t="s">
        <v>553</v>
      </c>
      <c r="E147" s="550"/>
      <c r="F147" s="78">
        <f>F145*3%</f>
        <v>24113512.404106036</v>
      </c>
      <c r="G147" s="354"/>
      <c r="H147" s="555"/>
      <c r="I147" s="556"/>
      <c r="J147" s="557"/>
      <c r="K147" s="550" t="s">
        <v>553</v>
      </c>
      <c r="L147" s="550"/>
      <c r="M147" s="78">
        <f>M145*3%</f>
        <v>21563732.262280572</v>
      </c>
      <c r="P147" s="555"/>
      <c r="Q147" s="556"/>
      <c r="R147" s="557"/>
      <c r="S147" s="550" t="s">
        <v>1132</v>
      </c>
      <c r="T147" s="550"/>
      <c r="U147" s="396">
        <f>ROUND(U145*1.55%,0)</f>
        <v>11113500</v>
      </c>
      <c r="V147" s="96"/>
      <c r="W147" s="391">
        <f>+U145-W145</f>
        <v>0.20495200157165527</v>
      </c>
    </row>
    <row r="148" spans="1:23" x14ac:dyDescent="0.2">
      <c r="A148" s="555"/>
      <c r="B148" s="556"/>
      <c r="C148" s="557"/>
      <c r="D148" s="550" t="s">
        <v>884</v>
      </c>
      <c r="E148" s="550"/>
      <c r="F148" s="78">
        <f>F145*5%</f>
        <v>40189187.340176724</v>
      </c>
      <c r="G148" s="354"/>
      <c r="H148" s="555"/>
      <c r="I148" s="556"/>
      <c r="J148" s="557"/>
      <c r="K148" s="550" t="s">
        <v>884</v>
      </c>
      <c r="L148" s="550"/>
      <c r="M148" s="78">
        <f>M145*5%</f>
        <v>35939553.770467624</v>
      </c>
      <c r="P148" s="555"/>
      <c r="Q148" s="556"/>
      <c r="R148" s="557"/>
      <c r="S148" s="550" t="s">
        <v>884</v>
      </c>
      <c r="T148" s="550"/>
      <c r="U148" s="396">
        <f>ROUND(U145*5%,0)</f>
        <v>35850000</v>
      </c>
      <c r="V148" s="96"/>
    </row>
    <row r="149" spans="1:23" x14ac:dyDescent="0.2">
      <c r="A149" s="555"/>
      <c r="B149" s="556"/>
      <c r="C149" s="557"/>
      <c r="D149" s="550" t="s">
        <v>364</v>
      </c>
      <c r="E149" s="550"/>
      <c r="F149" s="337">
        <f>SUM(F145:F148)</f>
        <v>1044918870.8445948</v>
      </c>
      <c r="G149" s="354"/>
      <c r="H149" s="555"/>
      <c r="I149" s="556"/>
      <c r="J149" s="557"/>
      <c r="K149" s="550" t="s">
        <v>364</v>
      </c>
      <c r="L149" s="550"/>
      <c r="M149" s="337">
        <f>SUM(M145:M148)</f>
        <v>934428398.03215814</v>
      </c>
      <c r="P149" s="555"/>
      <c r="Q149" s="556"/>
      <c r="R149" s="557"/>
      <c r="S149" s="550" t="s">
        <v>364</v>
      </c>
      <c r="T149" s="550"/>
      <c r="U149" s="537">
        <f>SUM(U145:U148)</f>
        <v>932100000</v>
      </c>
      <c r="V149" s="96"/>
      <c r="W149" s="391">
        <f>+W150-U150</f>
        <v>5.6500732898712158E-4</v>
      </c>
    </row>
    <row r="150" spans="1:23" x14ac:dyDescent="0.2">
      <c r="A150" s="555"/>
      <c r="B150" s="556"/>
      <c r="C150" s="557"/>
      <c r="D150" s="550" t="s">
        <v>889</v>
      </c>
      <c r="E150" s="550"/>
      <c r="F150" s="78">
        <f>+INTERVENTORIA!H41</f>
        <v>69231999.989151672</v>
      </c>
      <c r="G150" s="380">
        <f>+F150/F149</f>
        <v>6.6255861503575209E-2</v>
      </c>
      <c r="H150" s="555"/>
      <c r="I150" s="556"/>
      <c r="J150" s="557"/>
      <c r="K150" s="550" t="s">
        <v>889</v>
      </c>
      <c r="L150" s="550"/>
      <c r="M150" s="78">
        <f>+INTERVENTORIA!O41</f>
        <v>0</v>
      </c>
      <c r="P150" s="555"/>
      <c r="Q150" s="556"/>
      <c r="R150" s="557"/>
      <c r="S150" s="550" t="s">
        <v>889</v>
      </c>
      <c r="T150" s="550"/>
      <c r="U150" s="396">
        <f>+U149*0.07427529235</f>
        <v>69231999.999434993</v>
      </c>
      <c r="V150" s="392">
        <f>+U150/U149</f>
        <v>7.4275292349999994E-2</v>
      </c>
      <c r="W150" s="1">
        <v>69232000</v>
      </c>
    </row>
    <row r="151" spans="1:23" ht="15.75" thickBot="1" x14ac:dyDescent="0.3">
      <c r="A151" s="558"/>
      <c r="B151" s="559"/>
      <c r="C151" s="560"/>
      <c r="D151" s="551" t="s">
        <v>890</v>
      </c>
      <c r="E151" s="551"/>
      <c r="F151" s="79">
        <f>+F149+F150</f>
        <v>1114150870.8337464</v>
      </c>
      <c r="G151" s="354"/>
      <c r="H151" s="558"/>
      <c r="I151" s="559"/>
      <c r="J151" s="560"/>
      <c r="K151" s="551" t="s">
        <v>890</v>
      </c>
      <c r="L151" s="551"/>
      <c r="M151" s="79">
        <f>+M149+M150</f>
        <v>934428398.03215814</v>
      </c>
      <c r="P151" s="558"/>
      <c r="Q151" s="559"/>
      <c r="R151" s="560"/>
      <c r="S151" s="551" t="s">
        <v>890</v>
      </c>
      <c r="T151" s="551"/>
      <c r="U151" s="539">
        <f>+U149+U150</f>
        <v>1001331999.9994349</v>
      </c>
      <c r="V151" s="445">
        <f>+T151+T152</f>
        <v>0</v>
      </c>
      <c r="W151" s="445">
        <v>1001332000</v>
      </c>
    </row>
    <row r="152" spans="1:23" x14ac:dyDescent="0.2">
      <c r="G152" s="354"/>
      <c r="P152" s="96"/>
      <c r="Q152" s="96"/>
      <c r="R152" s="96"/>
      <c r="S152" s="96"/>
      <c r="T152" s="96"/>
      <c r="U152" s="391"/>
      <c r="V152" s="538">
        <f>+U151-W151</f>
        <v>-5.6505203247070313E-4</v>
      </c>
    </row>
    <row r="153" spans="1:23" x14ac:dyDescent="0.2">
      <c r="G153" s="354"/>
      <c r="P153" s="96"/>
      <c r="Q153" s="96"/>
      <c r="R153" s="96"/>
      <c r="S153" s="96"/>
      <c r="T153" s="96"/>
      <c r="U153" s="96"/>
      <c r="V153" s="96"/>
    </row>
    <row r="154" spans="1:23" x14ac:dyDescent="0.2">
      <c r="G154" s="354"/>
      <c r="M154" s="378"/>
      <c r="N154" s="378"/>
      <c r="P154" s="96"/>
      <c r="Q154" s="96"/>
      <c r="R154" s="96"/>
      <c r="S154" s="96"/>
      <c r="T154" s="96"/>
      <c r="U154" s="378"/>
      <c r="V154" s="390"/>
    </row>
    <row r="155" spans="1:23" x14ac:dyDescent="0.2">
      <c r="G155" s="354"/>
      <c r="M155" s="378">
        <v>37950000</v>
      </c>
      <c r="N155" s="378">
        <v>37838970</v>
      </c>
      <c r="P155" s="96"/>
      <c r="Q155" s="96"/>
      <c r="R155" s="96"/>
      <c r="S155" s="96"/>
      <c r="T155" s="96"/>
      <c r="U155" s="397"/>
      <c r="V155" s="390">
        <v>37838970</v>
      </c>
    </row>
    <row r="156" spans="1:23" x14ac:dyDescent="0.2">
      <c r="G156" s="354"/>
      <c r="M156" s="378">
        <v>11300000</v>
      </c>
      <c r="N156" s="378">
        <v>11999555</v>
      </c>
      <c r="P156" s="96"/>
      <c r="Q156" s="96"/>
      <c r="R156" s="96"/>
      <c r="S156" s="96"/>
      <c r="T156" s="96"/>
      <c r="U156" s="397"/>
      <c r="V156" s="390">
        <v>11999555</v>
      </c>
    </row>
    <row r="157" spans="1:23" x14ac:dyDescent="0.2">
      <c r="G157" s="354"/>
      <c r="L157" s="1" t="s">
        <v>897</v>
      </c>
      <c r="M157" s="378">
        <v>54900000</v>
      </c>
      <c r="N157" s="378">
        <f>+M157-588525</f>
        <v>54311475</v>
      </c>
      <c r="O157" s="381">
        <f>+N157/M151</f>
        <v>5.812267169360031E-2</v>
      </c>
      <c r="P157" s="96"/>
      <c r="Q157" s="96"/>
      <c r="R157" s="96"/>
      <c r="S157" s="96"/>
      <c r="T157" s="96"/>
      <c r="U157" s="397"/>
      <c r="V157" s="390">
        <f>+U157-588525</f>
        <v>-588525</v>
      </c>
    </row>
    <row r="158" spans="1:23" s="96" customFormat="1" x14ac:dyDescent="0.2">
      <c r="A158" s="344"/>
      <c r="B158" s="9"/>
      <c r="C158" s="10"/>
      <c r="D158" s="10"/>
      <c r="E158" s="10"/>
      <c r="F158" s="10"/>
      <c r="G158" s="354"/>
      <c r="M158" s="378">
        <f>+M149</f>
        <v>934428398.03215814</v>
      </c>
      <c r="N158" s="378">
        <f>+M158</f>
        <v>934428398.03215814</v>
      </c>
      <c r="U158" s="397"/>
      <c r="V158" s="390">
        <f>+U158</f>
        <v>0</v>
      </c>
    </row>
    <row r="159" spans="1:23" x14ac:dyDescent="0.2">
      <c r="L159" s="1" t="s">
        <v>68</v>
      </c>
      <c r="M159" s="378">
        <f>SUM(M155:M158)</f>
        <v>1038578398.0321581</v>
      </c>
      <c r="N159" s="378">
        <f>SUM(N155:N158)</f>
        <v>1038578398.0321581</v>
      </c>
      <c r="P159" s="96"/>
      <c r="Q159" s="96"/>
      <c r="R159" s="96"/>
      <c r="S159" s="96"/>
      <c r="T159" s="96"/>
      <c r="U159" s="397"/>
      <c r="V159" s="390">
        <f>SUM(V155:V158)</f>
        <v>49250000</v>
      </c>
    </row>
    <row r="160" spans="1:23" x14ac:dyDescent="0.2">
      <c r="L160" s="1" t="s">
        <v>896</v>
      </c>
      <c r="M160" s="378">
        <v>959400000</v>
      </c>
      <c r="N160" s="378">
        <f>+M160</f>
        <v>959400000</v>
      </c>
      <c r="P160" s="96"/>
      <c r="Q160" s="96"/>
      <c r="R160" s="96"/>
      <c r="S160" s="96"/>
      <c r="T160" s="96"/>
      <c r="U160" s="397"/>
      <c r="V160" s="390">
        <f>+U160</f>
        <v>0</v>
      </c>
    </row>
    <row r="161" spans="12:22" x14ac:dyDescent="0.2">
      <c r="L161" s="1" t="s">
        <v>895</v>
      </c>
      <c r="M161" s="378">
        <f>+M159-M160</f>
        <v>79178398.032158136</v>
      </c>
      <c r="N161" s="378">
        <f>+N159-N160</f>
        <v>79178398.032158136</v>
      </c>
      <c r="P161" s="96"/>
      <c r="Q161" s="96"/>
      <c r="R161" s="96"/>
      <c r="S161" s="96"/>
      <c r="U161" s="397"/>
      <c r="V161" s="390">
        <f>+V159-V160</f>
        <v>49250000</v>
      </c>
    </row>
    <row r="162" spans="12:22" x14ac:dyDescent="0.2">
      <c r="N162" s="378">
        <v>588525</v>
      </c>
      <c r="P162" s="96"/>
      <c r="Q162" s="96"/>
      <c r="R162" s="96"/>
      <c r="S162" s="96"/>
      <c r="T162" s="96"/>
      <c r="U162" s="397"/>
      <c r="V162" s="390">
        <v>588525</v>
      </c>
    </row>
    <row r="163" spans="12:22" x14ac:dyDescent="0.2">
      <c r="N163" s="378"/>
      <c r="U163" s="379"/>
    </row>
  </sheetData>
  <autoFilter ref="P5:U163"/>
  <mergeCells count="32">
    <mergeCell ref="Q1:U1"/>
    <mergeCell ref="Q2:U2"/>
    <mergeCell ref="Q3:U3"/>
    <mergeCell ref="Q4:U4"/>
    <mergeCell ref="D150:E150"/>
    <mergeCell ref="H145:J151"/>
    <mergeCell ref="K145:L145"/>
    <mergeCell ref="K146:L146"/>
    <mergeCell ref="K147:L147"/>
    <mergeCell ref="K148:L148"/>
    <mergeCell ref="K149:L149"/>
    <mergeCell ref="K150:L150"/>
    <mergeCell ref="K151:L151"/>
    <mergeCell ref="P145:R151"/>
    <mergeCell ref="S145:T145"/>
    <mergeCell ref="S146:T146"/>
    <mergeCell ref="D151:E151"/>
    <mergeCell ref="A145:C151"/>
    <mergeCell ref="B1:F1"/>
    <mergeCell ref="B2:F2"/>
    <mergeCell ref="B3:F3"/>
    <mergeCell ref="B4:F4"/>
    <mergeCell ref="D149:E149"/>
    <mergeCell ref="D145:E145"/>
    <mergeCell ref="D146:E146"/>
    <mergeCell ref="D147:E147"/>
    <mergeCell ref="D148:E148"/>
    <mergeCell ref="S147:T147"/>
    <mergeCell ref="S148:T148"/>
    <mergeCell ref="S149:T149"/>
    <mergeCell ref="S150:T150"/>
    <mergeCell ref="S151:T151"/>
  </mergeCells>
  <pageMargins left="0.70866141732283472" right="0.70866141732283472" top="0.74803149606299213" bottom="0.74803149606299213" header="0.31496062992125984" footer="0.31496062992125984"/>
  <pageSetup scale="82" fitToHeight="6" orientation="portrait" r:id="rId1"/>
  <headerFooter>
    <oddHeader xml:space="preserve">&amp;L
&amp;C
</oddHeader>
  </headerFooter>
  <rowBreaks count="2" manualBreakCount="2">
    <brk id="68" min="15" max="20" man="1"/>
    <brk id="137" min="15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37"/>
  <sheetViews>
    <sheetView view="pageBreakPreview" topLeftCell="C16" zoomScaleNormal="100" zoomScaleSheetLayoutView="100" workbookViewId="0">
      <selection activeCell="F36" sqref="F36"/>
    </sheetView>
  </sheetViews>
  <sheetFormatPr baseColWidth="10" defaultRowHeight="15" x14ac:dyDescent="0.25"/>
  <cols>
    <col min="1" max="1" width="11.42578125" style="11"/>
    <col min="2" max="2" width="69.85546875" customWidth="1"/>
    <col min="5" max="5" width="12.28515625" customWidth="1"/>
    <col min="6" max="6" width="16.85546875" bestFit="1" customWidth="1"/>
    <col min="7" max="7" width="16.85546875" customWidth="1"/>
    <col min="8" max="8" width="16.7109375" customWidth="1"/>
    <col min="9" max="9" width="16.85546875" bestFit="1" customWidth="1"/>
    <col min="10" max="10" width="13.5703125" bestFit="1" customWidth="1"/>
    <col min="11" max="11" width="16.140625" customWidth="1"/>
  </cols>
  <sheetData>
    <row r="1" spans="1:8" ht="15.75" thickBot="1" x14ac:dyDescent="0.3">
      <c r="A1" s="569" t="s">
        <v>936</v>
      </c>
      <c r="B1" s="570"/>
      <c r="C1" s="570"/>
      <c r="D1" s="570"/>
      <c r="E1" s="570"/>
      <c r="F1" s="570"/>
      <c r="G1" s="570"/>
      <c r="H1" s="571"/>
    </row>
    <row r="2" spans="1:8" x14ac:dyDescent="0.25">
      <c r="A2" s="572" t="s">
        <v>791</v>
      </c>
      <c r="B2" s="573"/>
      <c r="C2" s="573"/>
      <c r="D2" s="573"/>
      <c r="E2" s="573"/>
      <c r="F2" s="573"/>
      <c r="G2" s="573"/>
      <c r="H2" s="574"/>
    </row>
    <row r="3" spans="1:8" x14ac:dyDescent="0.25">
      <c r="A3" s="572" t="s">
        <v>938</v>
      </c>
      <c r="B3" s="573"/>
      <c r="C3" s="573"/>
      <c r="D3" s="573"/>
      <c r="E3" s="573"/>
      <c r="F3" s="573"/>
      <c r="G3" s="573"/>
      <c r="H3" s="574"/>
    </row>
    <row r="4" spans="1:8" x14ac:dyDescent="0.25">
      <c r="A4" s="575"/>
      <c r="B4" s="576"/>
      <c r="C4" s="576"/>
      <c r="D4" s="576"/>
      <c r="E4" s="576"/>
      <c r="F4" s="576"/>
      <c r="G4" s="576"/>
      <c r="H4" s="577"/>
    </row>
    <row r="5" spans="1:8" x14ac:dyDescent="0.25">
      <c r="A5" s="272"/>
      <c r="B5" s="238" t="s">
        <v>700</v>
      </c>
      <c r="C5" s="237"/>
      <c r="D5" s="237"/>
      <c r="E5" s="237"/>
      <c r="F5" s="237"/>
      <c r="G5" s="237"/>
      <c r="H5" s="273">
        <f>+'PRESUPUESTO RESUMEN'!U145</f>
        <v>717000000</v>
      </c>
    </row>
    <row r="6" spans="1:8" x14ac:dyDescent="0.25">
      <c r="A6" s="274" t="s">
        <v>450</v>
      </c>
      <c r="B6" s="239" t="s">
        <v>451</v>
      </c>
      <c r="C6" s="239" t="s">
        <v>237</v>
      </c>
      <c r="D6" s="239" t="s">
        <v>455</v>
      </c>
      <c r="E6" s="239" t="s">
        <v>738</v>
      </c>
      <c r="F6" s="240" t="s">
        <v>4</v>
      </c>
      <c r="G6" s="240" t="s">
        <v>701</v>
      </c>
      <c r="H6" s="275" t="s">
        <v>702</v>
      </c>
    </row>
    <row r="7" spans="1:8" x14ac:dyDescent="0.25">
      <c r="A7" s="276"/>
      <c r="B7" s="182"/>
      <c r="C7" s="182"/>
      <c r="D7" s="182"/>
      <c r="E7" s="182"/>
      <c r="F7" s="182"/>
      <c r="G7" s="182"/>
      <c r="H7" s="277"/>
    </row>
    <row r="8" spans="1:8" x14ac:dyDescent="0.25">
      <c r="A8" s="278" t="s">
        <v>703</v>
      </c>
      <c r="B8" s="182" t="s">
        <v>704</v>
      </c>
      <c r="C8" s="182"/>
      <c r="D8" s="182"/>
      <c r="E8" s="182"/>
      <c r="F8" s="182"/>
      <c r="G8" s="182"/>
      <c r="H8" s="277"/>
    </row>
    <row r="9" spans="1:8" x14ac:dyDescent="0.25">
      <c r="A9" s="278"/>
      <c r="B9" s="182" t="s">
        <v>705</v>
      </c>
      <c r="C9" s="182" t="s">
        <v>706</v>
      </c>
      <c r="D9" s="182">
        <v>5</v>
      </c>
      <c r="E9" s="192">
        <v>0.4</v>
      </c>
      <c r="F9" s="184">
        <f>4450000*1.45</f>
        <v>6452500</v>
      </c>
      <c r="G9" s="185">
        <f>+D9*F9*E9</f>
        <v>12905000</v>
      </c>
      <c r="H9" s="277"/>
    </row>
    <row r="10" spans="1:8" x14ac:dyDescent="0.25">
      <c r="A10" s="278"/>
      <c r="B10" s="182" t="s">
        <v>707</v>
      </c>
      <c r="C10" s="182" t="s">
        <v>706</v>
      </c>
      <c r="D10" s="182">
        <v>4</v>
      </c>
      <c r="E10" s="192">
        <v>1</v>
      </c>
      <c r="F10" s="184">
        <f>2750000*1.45</f>
        <v>3987500</v>
      </c>
      <c r="G10" s="185">
        <f>+D10*F10*E10</f>
        <v>15950000</v>
      </c>
      <c r="H10" s="279">
        <f>SUM(G9:G10)</f>
        <v>28855000</v>
      </c>
    </row>
    <row r="11" spans="1:8" x14ac:dyDescent="0.25">
      <c r="A11" s="276" t="s">
        <v>708</v>
      </c>
      <c r="B11" s="182" t="s">
        <v>709</v>
      </c>
      <c r="C11" s="182"/>
      <c r="D11" s="182"/>
      <c r="E11" s="182"/>
      <c r="F11" s="182"/>
      <c r="G11" s="182"/>
      <c r="H11" s="277"/>
    </row>
    <row r="12" spans="1:8" x14ac:dyDescent="0.25">
      <c r="A12" s="276"/>
      <c r="B12" s="182" t="s">
        <v>710</v>
      </c>
      <c r="C12" s="182" t="s">
        <v>706</v>
      </c>
      <c r="D12" s="182">
        <v>4</v>
      </c>
      <c r="E12" s="192">
        <v>1</v>
      </c>
      <c r="F12" s="184">
        <f>900000*1.52</f>
        <v>1368000</v>
      </c>
      <c r="G12" s="185">
        <f>+D12*F12*E12</f>
        <v>5472000</v>
      </c>
      <c r="H12" s="277"/>
    </row>
    <row r="13" spans="1:8" x14ac:dyDescent="0.25">
      <c r="A13" s="276"/>
      <c r="B13" s="182" t="s">
        <v>711</v>
      </c>
      <c r="C13" s="182" t="s">
        <v>706</v>
      </c>
      <c r="D13" s="182">
        <v>4</v>
      </c>
      <c r="E13" s="192">
        <v>1</v>
      </c>
      <c r="F13" s="184">
        <f>+(737000+82300)*1.52</f>
        <v>1245336</v>
      </c>
      <c r="G13" s="185">
        <f t="shared" ref="G13:G15" si="0">+D13*F13*E13</f>
        <v>4981344</v>
      </c>
      <c r="H13" s="277"/>
    </row>
    <row r="14" spans="1:8" x14ac:dyDescent="0.25">
      <c r="A14" s="276"/>
      <c r="B14" s="182" t="s">
        <v>712</v>
      </c>
      <c r="C14" s="182" t="s">
        <v>706</v>
      </c>
      <c r="D14" s="182">
        <v>4</v>
      </c>
      <c r="E14" s="192">
        <v>0.3</v>
      </c>
      <c r="F14" s="184">
        <f>900000*1.52</f>
        <v>1368000</v>
      </c>
      <c r="G14" s="185">
        <f t="shared" si="0"/>
        <v>1641600</v>
      </c>
      <c r="H14" s="277"/>
    </row>
    <row r="15" spans="1:8" x14ac:dyDescent="0.25">
      <c r="A15" s="276" t="s">
        <v>713</v>
      </c>
      <c r="B15" s="182" t="s">
        <v>714</v>
      </c>
      <c r="C15" s="182" t="s">
        <v>706</v>
      </c>
      <c r="D15" s="182">
        <v>4</v>
      </c>
      <c r="E15" s="192">
        <v>1</v>
      </c>
      <c r="F15" s="184">
        <v>4300000</v>
      </c>
      <c r="G15" s="185">
        <f t="shared" si="0"/>
        <v>17200000</v>
      </c>
      <c r="H15" s="279">
        <f>+G15</f>
        <v>17200000</v>
      </c>
    </row>
    <row r="16" spans="1:8" x14ac:dyDescent="0.25">
      <c r="A16" s="276">
        <v>1.04</v>
      </c>
      <c r="B16" s="182" t="s">
        <v>715</v>
      </c>
      <c r="C16" s="182" t="s">
        <v>518</v>
      </c>
      <c r="D16" s="182">
        <v>1</v>
      </c>
      <c r="E16" s="182"/>
      <c r="F16" s="184">
        <v>3600000</v>
      </c>
      <c r="G16" s="185">
        <f t="shared" ref="G16:G28" si="1">+D16*F16</f>
        <v>3600000</v>
      </c>
      <c r="H16" s="279">
        <f t="shared" ref="H16:H30" si="2">+G16</f>
        <v>3600000</v>
      </c>
    </row>
    <row r="17" spans="1:11" x14ac:dyDescent="0.25">
      <c r="A17" s="276">
        <v>1.05</v>
      </c>
      <c r="B17" s="182" t="s">
        <v>886</v>
      </c>
      <c r="C17" s="182" t="s">
        <v>706</v>
      </c>
      <c r="D17" s="182">
        <v>4</v>
      </c>
      <c r="E17" s="182"/>
      <c r="F17" s="184">
        <v>1500000</v>
      </c>
      <c r="G17" s="185">
        <f t="shared" si="1"/>
        <v>6000000</v>
      </c>
      <c r="H17" s="279">
        <f t="shared" si="2"/>
        <v>6000000</v>
      </c>
    </row>
    <row r="18" spans="1:11" x14ac:dyDescent="0.25">
      <c r="A18" s="276">
        <v>1.06</v>
      </c>
      <c r="B18" s="182" t="s">
        <v>716</v>
      </c>
      <c r="C18" s="182" t="s">
        <v>706</v>
      </c>
      <c r="D18" s="182">
        <v>4</v>
      </c>
      <c r="E18" s="182"/>
      <c r="F18" s="184">
        <v>1544464.0595267799</v>
      </c>
      <c r="G18" s="185">
        <f t="shared" si="1"/>
        <v>6177856.2381071197</v>
      </c>
      <c r="H18" s="279">
        <f t="shared" si="2"/>
        <v>6177856.2381071197</v>
      </c>
    </row>
    <row r="19" spans="1:11" x14ac:dyDescent="0.25">
      <c r="A19" s="276">
        <v>1.07</v>
      </c>
      <c r="B19" s="182" t="s">
        <v>717</v>
      </c>
      <c r="C19" s="182" t="s">
        <v>518</v>
      </c>
      <c r="D19" s="182">
        <v>1</v>
      </c>
      <c r="E19" s="182"/>
      <c r="F19" s="184">
        <v>2600331.5</v>
      </c>
      <c r="G19" s="185">
        <f t="shared" si="1"/>
        <v>2600331.5</v>
      </c>
      <c r="H19" s="279">
        <f t="shared" si="2"/>
        <v>2600331.5</v>
      </c>
    </row>
    <row r="20" spans="1:11" hidden="1" x14ac:dyDescent="0.25">
      <c r="A20" s="276" t="s">
        <v>718</v>
      </c>
      <c r="B20" s="182" t="s">
        <v>719</v>
      </c>
      <c r="C20" s="182" t="s">
        <v>518</v>
      </c>
      <c r="D20" s="182">
        <v>1</v>
      </c>
      <c r="E20" s="182"/>
      <c r="F20" s="184">
        <v>0</v>
      </c>
      <c r="G20" s="185">
        <f t="shared" si="1"/>
        <v>0</v>
      </c>
      <c r="H20" s="279">
        <f t="shared" si="2"/>
        <v>0</v>
      </c>
    </row>
    <row r="21" spans="1:11" hidden="1" x14ac:dyDescent="0.25">
      <c r="A21" s="276" t="s">
        <v>720</v>
      </c>
      <c r="B21" s="182" t="s">
        <v>721</v>
      </c>
      <c r="C21" s="182" t="s">
        <v>706</v>
      </c>
      <c r="D21" s="182">
        <v>1</v>
      </c>
      <c r="E21" s="182"/>
      <c r="F21" s="184">
        <v>0</v>
      </c>
      <c r="G21" s="185">
        <f t="shared" si="1"/>
        <v>0</v>
      </c>
      <c r="H21" s="279">
        <f t="shared" si="2"/>
        <v>0</v>
      </c>
    </row>
    <row r="22" spans="1:11" x14ac:dyDescent="0.25">
      <c r="A22" s="276">
        <v>1.08</v>
      </c>
      <c r="B22" s="182" t="s">
        <v>887</v>
      </c>
      <c r="C22" s="182" t="s">
        <v>518</v>
      </c>
      <c r="D22" s="182">
        <v>1</v>
      </c>
      <c r="E22" s="182"/>
      <c r="F22" s="184">
        <v>2362328.5267633153</v>
      </c>
      <c r="G22" s="185">
        <f t="shared" si="1"/>
        <v>2362328.5267633153</v>
      </c>
      <c r="H22" s="279">
        <f t="shared" si="2"/>
        <v>2362328.5267633153</v>
      </c>
    </row>
    <row r="23" spans="1:11" hidden="1" x14ac:dyDescent="0.25">
      <c r="A23" s="276" t="s">
        <v>722</v>
      </c>
      <c r="B23" s="182" t="s">
        <v>723</v>
      </c>
      <c r="C23" s="182" t="s">
        <v>518</v>
      </c>
      <c r="D23" s="182">
        <v>1</v>
      </c>
      <c r="E23" s="182"/>
      <c r="F23" s="184">
        <v>0</v>
      </c>
      <c r="G23" s="185">
        <f t="shared" si="1"/>
        <v>0</v>
      </c>
      <c r="H23" s="279">
        <f t="shared" si="2"/>
        <v>0</v>
      </c>
    </row>
    <row r="24" spans="1:11" x14ac:dyDescent="0.25">
      <c r="A24" s="276">
        <v>1.0900000000000001</v>
      </c>
      <c r="B24" s="182" t="s">
        <v>724</v>
      </c>
      <c r="C24" s="182" t="s">
        <v>518</v>
      </c>
      <c r="D24" s="182">
        <v>1</v>
      </c>
      <c r="E24" s="182"/>
      <c r="F24" s="184">
        <v>1500000</v>
      </c>
      <c r="G24" s="185">
        <f t="shared" si="1"/>
        <v>1500000</v>
      </c>
      <c r="H24" s="279">
        <f t="shared" si="2"/>
        <v>1500000</v>
      </c>
    </row>
    <row r="25" spans="1:11" x14ac:dyDescent="0.25">
      <c r="A25" s="345">
        <v>1.1000000000000001</v>
      </c>
      <c r="B25" s="182" t="s">
        <v>725</v>
      </c>
      <c r="C25" s="182" t="s">
        <v>237</v>
      </c>
      <c r="D25" s="182">
        <v>30</v>
      </c>
      <c r="E25" s="182"/>
      <c r="F25" s="184">
        <v>46000</v>
      </c>
      <c r="G25" s="185">
        <f>+D25*F25</f>
        <v>1380000</v>
      </c>
      <c r="H25" s="279">
        <f t="shared" si="2"/>
        <v>1380000</v>
      </c>
    </row>
    <row r="26" spans="1:11" x14ac:dyDescent="0.25">
      <c r="A26" s="276">
        <v>1.1100000000000001</v>
      </c>
      <c r="B26" s="182" t="s">
        <v>726</v>
      </c>
      <c r="C26" s="182" t="s">
        <v>518</v>
      </c>
      <c r="D26" s="182">
        <v>1</v>
      </c>
      <c r="E26" s="182"/>
      <c r="F26" s="184">
        <v>3500000</v>
      </c>
      <c r="G26" s="185">
        <f t="shared" si="1"/>
        <v>3500000</v>
      </c>
      <c r="H26" s="279">
        <f t="shared" si="2"/>
        <v>3500000</v>
      </c>
      <c r="J26" s="189">
        <v>200331.23999994993</v>
      </c>
      <c r="K26" s="186"/>
    </row>
    <row r="27" spans="1:11" x14ac:dyDescent="0.25">
      <c r="A27" s="276">
        <v>1.1200000000000001</v>
      </c>
      <c r="B27" s="182" t="s">
        <v>885</v>
      </c>
      <c r="C27" s="182" t="s">
        <v>518</v>
      </c>
      <c r="D27" s="182">
        <v>1</v>
      </c>
      <c r="E27" s="182"/>
      <c r="F27" s="184">
        <v>1750983.9951296034</v>
      </c>
      <c r="G27" s="185">
        <f t="shared" si="1"/>
        <v>1750983.9951296034</v>
      </c>
      <c r="H27" s="279">
        <f t="shared" si="2"/>
        <v>1750983.9951296034</v>
      </c>
    </row>
    <row r="28" spans="1:11" hidden="1" x14ac:dyDescent="0.25">
      <c r="A28" s="276" t="s">
        <v>727</v>
      </c>
      <c r="B28" s="182" t="s">
        <v>728</v>
      </c>
      <c r="C28" s="182" t="s">
        <v>518</v>
      </c>
      <c r="D28" s="182">
        <v>1</v>
      </c>
      <c r="E28" s="182"/>
      <c r="F28" s="184">
        <v>0</v>
      </c>
      <c r="G28" s="185">
        <f t="shared" si="1"/>
        <v>0</v>
      </c>
      <c r="H28" s="279">
        <f t="shared" si="2"/>
        <v>0</v>
      </c>
      <c r="K28" s="186"/>
    </row>
    <row r="29" spans="1:11" x14ac:dyDescent="0.25">
      <c r="A29" s="276">
        <v>1.1299999999999999</v>
      </c>
      <c r="B29" s="182" t="s">
        <v>729</v>
      </c>
      <c r="C29" s="182" t="s">
        <v>730</v>
      </c>
      <c r="D29" s="187">
        <f>11.1%-0.2%</f>
        <v>0.109</v>
      </c>
      <c r="E29" s="191"/>
      <c r="F29" s="280">
        <f>+H5</f>
        <v>717000000</v>
      </c>
      <c r="G29" s="193">
        <f>+D29*F29</f>
        <v>78153000</v>
      </c>
      <c r="H29" s="279">
        <f>+G29</f>
        <v>78153000</v>
      </c>
      <c r="I29" s="188"/>
    </row>
    <row r="30" spans="1:11" x14ac:dyDescent="0.25">
      <c r="A30" s="276">
        <v>1.1399999999999999</v>
      </c>
      <c r="B30" s="182" t="s">
        <v>731</v>
      </c>
      <c r="C30" s="182" t="s">
        <v>730</v>
      </c>
      <c r="D30" s="187">
        <f>1.2/100</f>
        <v>1.2E-2</v>
      </c>
      <c r="E30" s="187"/>
      <c r="F30" s="185">
        <f>+F29</f>
        <v>717000000</v>
      </c>
      <c r="G30" s="185">
        <f>+D30*F30</f>
        <v>8604000</v>
      </c>
      <c r="H30" s="279">
        <f t="shared" si="2"/>
        <v>8604000</v>
      </c>
      <c r="I30" s="188"/>
      <c r="K30" s="189"/>
    </row>
    <row r="31" spans="1:11" x14ac:dyDescent="0.25">
      <c r="A31" s="276">
        <v>1.1499999999999999</v>
      </c>
      <c r="B31" s="182" t="s">
        <v>732</v>
      </c>
      <c r="C31" s="182" t="s">
        <v>730</v>
      </c>
      <c r="D31" s="187">
        <f>(9/1000)</f>
        <v>8.9999999999999993E-3</v>
      </c>
      <c r="E31" s="187"/>
      <c r="F31" s="185">
        <f>+F29</f>
        <v>717000000</v>
      </c>
      <c r="G31" s="193">
        <f>+D31*F31</f>
        <v>6452999.9999999991</v>
      </c>
      <c r="H31" s="279">
        <f>+G31</f>
        <v>6452999.9999999991</v>
      </c>
      <c r="I31" s="189"/>
      <c r="J31" s="189"/>
    </row>
    <row r="32" spans="1:11" x14ac:dyDescent="0.25">
      <c r="A32" s="276"/>
      <c r="B32" s="183" t="s">
        <v>733</v>
      </c>
      <c r="C32" s="182"/>
      <c r="D32" s="190">
        <f>+H32/H5</f>
        <v>0.23450000036262211</v>
      </c>
      <c r="E32" s="190"/>
      <c r="F32" s="182"/>
      <c r="G32" s="182"/>
      <c r="H32" s="281">
        <f>SUM(H10:H31)</f>
        <v>168136500.26000005</v>
      </c>
      <c r="I32" s="189">
        <f>+'PRESUPUESTO RESUMEN'!U146</f>
        <v>168136500</v>
      </c>
      <c r="J32" s="189">
        <f>+I32-H32</f>
        <v>-0.26000005006790161</v>
      </c>
    </row>
    <row r="33" spans="1:10" x14ac:dyDescent="0.25">
      <c r="A33" s="276"/>
      <c r="B33" s="238" t="s">
        <v>734</v>
      </c>
      <c r="C33" s="237" t="s">
        <v>730</v>
      </c>
      <c r="D33" s="241">
        <v>1.55E-2</v>
      </c>
      <c r="E33" s="241"/>
      <c r="F33" s="242">
        <f>+H5</f>
        <v>717000000</v>
      </c>
      <c r="G33" s="243">
        <f>+D33*F33</f>
        <v>11113500</v>
      </c>
      <c r="H33" s="282">
        <f>+G33</f>
        <v>11113500</v>
      </c>
      <c r="I33" s="189"/>
    </row>
    <row r="34" spans="1:10" x14ac:dyDescent="0.25">
      <c r="A34" s="276"/>
      <c r="B34" s="238" t="s">
        <v>735</v>
      </c>
      <c r="C34" s="237"/>
      <c r="D34" s="241">
        <v>0.05</v>
      </c>
      <c r="E34" s="241"/>
      <c r="F34" s="242">
        <f>+F33</f>
        <v>717000000</v>
      </c>
      <c r="G34" s="242">
        <f>+D34*F34</f>
        <v>35850000</v>
      </c>
      <c r="H34" s="282">
        <f>+G34</f>
        <v>35850000</v>
      </c>
      <c r="I34" s="186"/>
    </row>
    <row r="35" spans="1:10" x14ac:dyDescent="0.25">
      <c r="A35" s="276"/>
      <c r="B35" s="238" t="s">
        <v>736</v>
      </c>
      <c r="C35" s="237"/>
      <c r="D35" s="241">
        <f>+D32+D33+D34</f>
        <v>0.30000000036262209</v>
      </c>
      <c r="E35" s="241"/>
      <c r="F35" s="237"/>
      <c r="G35" s="237"/>
      <c r="H35" s="283"/>
    </row>
    <row r="36" spans="1:10" x14ac:dyDescent="0.25">
      <c r="A36" s="276"/>
      <c r="B36" s="238"/>
      <c r="C36" s="237"/>
      <c r="D36" s="244"/>
      <c r="E36" s="244"/>
      <c r="F36" s="237"/>
      <c r="G36" s="237"/>
      <c r="H36" s="284"/>
      <c r="J36" s="188"/>
    </row>
    <row r="37" spans="1:10" ht="15.75" thickBot="1" x14ac:dyDescent="0.3">
      <c r="A37" s="285"/>
      <c r="B37" s="286" t="s">
        <v>737</v>
      </c>
      <c r="C37" s="287"/>
      <c r="D37" s="288"/>
      <c r="E37" s="288"/>
      <c r="F37" s="287"/>
      <c r="G37" s="287"/>
      <c r="H37" s="289">
        <f>+H5+H32+H33+H34-0.6</f>
        <v>932099999.65999997</v>
      </c>
    </row>
  </sheetData>
  <mergeCells count="4">
    <mergeCell ref="A1:H1"/>
    <mergeCell ref="A2:H2"/>
    <mergeCell ref="A3:H3"/>
    <mergeCell ref="A4:H4"/>
  </mergeCells>
  <pageMargins left="0.7" right="0.7" top="0.75" bottom="0.75" header="0.3" footer="0.3"/>
  <pageSetup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3:J49"/>
  <sheetViews>
    <sheetView view="pageBreakPreview" topLeftCell="A6" zoomScale="89" zoomScaleNormal="100" zoomScaleSheetLayoutView="89" workbookViewId="0">
      <selection activeCell="B39" sqref="B39:F39"/>
    </sheetView>
  </sheetViews>
  <sheetFormatPr baseColWidth="10" defaultRowHeight="15" x14ac:dyDescent="0.25"/>
  <cols>
    <col min="1" max="1" width="40.42578125" style="101" customWidth="1"/>
    <col min="2" max="2" width="16.7109375" style="101" customWidth="1"/>
    <col min="3" max="3" width="11.42578125" style="101"/>
    <col min="4" max="4" width="16.42578125" style="101" customWidth="1"/>
    <col min="5" max="5" width="12.42578125" style="101" bestFit="1" customWidth="1"/>
    <col min="6" max="6" width="16.5703125" style="101" bestFit="1" customWidth="1"/>
    <col min="7" max="7" width="14" style="101" customWidth="1"/>
    <col min="8" max="8" width="19.28515625" style="101" bestFit="1" customWidth="1"/>
    <col min="9" max="9" width="16.28515625" style="101" bestFit="1" customWidth="1"/>
    <col min="10" max="10" width="15.5703125" style="101" bestFit="1" customWidth="1"/>
    <col min="11" max="256" width="11.42578125" style="101"/>
    <col min="257" max="257" width="40.42578125" style="101" customWidth="1"/>
    <col min="258" max="258" width="16.7109375" style="101" customWidth="1"/>
    <col min="259" max="259" width="11.42578125" style="101"/>
    <col min="260" max="260" width="16.42578125" style="101" customWidth="1"/>
    <col min="261" max="261" width="12.42578125" style="101" bestFit="1" customWidth="1"/>
    <col min="262" max="262" width="16.5703125" style="101" bestFit="1" customWidth="1"/>
    <col min="263" max="263" width="14" style="101" customWidth="1"/>
    <col min="264" max="264" width="19.28515625" style="101" bestFit="1" customWidth="1"/>
    <col min="265" max="265" width="14.42578125" style="101" bestFit="1" customWidth="1"/>
    <col min="266" max="512" width="11.42578125" style="101"/>
    <col min="513" max="513" width="40.42578125" style="101" customWidth="1"/>
    <col min="514" max="514" width="16.7109375" style="101" customWidth="1"/>
    <col min="515" max="515" width="11.42578125" style="101"/>
    <col min="516" max="516" width="16.42578125" style="101" customWidth="1"/>
    <col min="517" max="517" width="12.42578125" style="101" bestFit="1" customWidth="1"/>
    <col min="518" max="518" width="16.5703125" style="101" bestFit="1" customWidth="1"/>
    <col min="519" max="519" width="14" style="101" customWidth="1"/>
    <col min="520" max="520" width="19.28515625" style="101" bestFit="1" customWidth="1"/>
    <col min="521" max="521" width="14.42578125" style="101" bestFit="1" customWidth="1"/>
    <col min="522" max="768" width="11.42578125" style="101"/>
    <col min="769" max="769" width="40.42578125" style="101" customWidth="1"/>
    <col min="770" max="770" width="16.7109375" style="101" customWidth="1"/>
    <col min="771" max="771" width="11.42578125" style="101"/>
    <col min="772" max="772" width="16.42578125" style="101" customWidth="1"/>
    <col min="773" max="773" width="12.42578125" style="101" bestFit="1" customWidth="1"/>
    <col min="774" max="774" width="16.5703125" style="101" bestFit="1" customWidth="1"/>
    <col min="775" max="775" width="14" style="101" customWidth="1"/>
    <col min="776" max="776" width="19.28515625" style="101" bestFit="1" customWidth="1"/>
    <col min="777" max="777" width="14.42578125" style="101" bestFit="1" customWidth="1"/>
    <col min="778" max="1024" width="11.42578125" style="101"/>
    <col min="1025" max="1025" width="40.42578125" style="101" customWidth="1"/>
    <col min="1026" max="1026" width="16.7109375" style="101" customWidth="1"/>
    <col min="1027" max="1027" width="11.42578125" style="101"/>
    <col min="1028" max="1028" width="16.42578125" style="101" customWidth="1"/>
    <col min="1029" max="1029" width="12.42578125" style="101" bestFit="1" customWidth="1"/>
    <col min="1030" max="1030" width="16.5703125" style="101" bestFit="1" customWidth="1"/>
    <col min="1031" max="1031" width="14" style="101" customWidth="1"/>
    <col min="1032" max="1032" width="19.28515625" style="101" bestFit="1" customWidth="1"/>
    <col min="1033" max="1033" width="14.42578125" style="101" bestFit="1" customWidth="1"/>
    <col min="1034" max="1280" width="11.42578125" style="101"/>
    <col min="1281" max="1281" width="40.42578125" style="101" customWidth="1"/>
    <col min="1282" max="1282" width="16.7109375" style="101" customWidth="1"/>
    <col min="1283" max="1283" width="11.42578125" style="101"/>
    <col min="1284" max="1284" width="16.42578125" style="101" customWidth="1"/>
    <col min="1285" max="1285" width="12.42578125" style="101" bestFit="1" customWidth="1"/>
    <col min="1286" max="1286" width="16.5703125" style="101" bestFit="1" customWidth="1"/>
    <col min="1287" max="1287" width="14" style="101" customWidth="1"/>
    <col min="1288" max="1288" width="19.28515625" style="101" bestFit="1" customWidth="1"/>
    <col min="1289" max="1289" width="14.42578125" style="101" bestFit="1" customWidth="1"/>
    <col min="1290" max="1536" width="11.42578125" style="101"/>
    <col min="1537" max="1537" width="40.42578125" style="101" customWidth="1"/>
    <col min="1538" max="1538" width="16.7109375" style="101" customWidth="1"/>
    <col min="1539" max="1539" width="11.42578125" style="101"/>
    <col min="1540" max="1540" width="16.42578125" style="101" customWidth="1"/>
    <col min="1541" max="1541" width="12.42578125" style="101" bestFit="1" customWidth="1"/>
    <col min="1542" max="1542" width="16.5703125" style="101" bestFit="1" customWidth="1"/>
    <col min="1543" max="1543" width="14" style="101" customWidth="1"/>
    <col min="1544" max="1544" width="19.28515625" style="101" bestFit="1" customWidth="1"/>
    <col min="1545" max="1545" width="14.42578125" style="101" bestFit="1" customWidth="1"/>
    <col min="1546" max="1792" width="11.42578125" style="101"/>
    <col min="1793" max="1793" width="40.42578125" style="101" customWidth="1"/>
    <col min="1794" max="1794" width="16.7109375" style="101" customWidth="1"/>
    <col min="1795" max="1795" width="11.42578125" style="101"/>
    <col min="1796" max="1796" width="16.42578125" style="101" customWidth="1"/>
    <col min="1797" max="1797" width="12.42578125" style="101" bestFit="1" customWidth="1"/>
    <col min="1798" max="1798" width="16.5703125" style="101" bestFit="1" customWidth="1"/>
    <col min="1799" max="1799" width="14" style="101" customWidth="1"/>
    <col min="1800" max="1800" width="19.28515625" style="101" bestFit="1" customWidth="1"/>
    <col min="1801" max="1801" width="14.42578125" style="101" bestFit="1" customWidth="1"/>
    <col min="1802" max="2048" width="11.42578125" style="101"/>
    <col min="2049" max="2049" width="40.42578125" style="101" customWidth="1"/>
    <col min="2050" max="2050" width="16.7109375" style="101" customWidth="1"/>
    <col min="2051" max="2051" width="11.42578125" style="101"/>
    <col min="2052" max="2052" width="16.42578125" style="101" customWidth="1"/>
    <col min="2053" max="2053" width="12.42578125" style="101" bestFit="1" customWidth="1"/>
    <col min="2054" max="2054" width="16.5703125" style="101" bestFit="1" customWidth="1"/>
    <col min="2055" max="2055" width="14" style="101" customWidth="1"/>
    <col min="2056" max="2056" width="19.28515625" style="101" bestFit="1" customWidth="1"/>
    <col min="2057" max="2057" width="14.42578125" style="101" bestFit="1" customWidth="1"/>
    <col min="2058" max="2304" width="11.42578125" style="101"/>
    <col min="2305" max="2305" width="40.42578125" style="101" customWidth="1"/>
    <col min="2306" max="2306" width="16.7109375" style="101" customWidth="1"/>
    <col min="2307" max="2307" width="11.42578125" style="101"/>
    <col min="2308" max="2308" width="16.42578125" style="101" customWidth="1"/>
    <col min="2309" max="2309" width="12.42578125" style="101" bestFit="1" customWidth="1"/>
    <col min="2310" max="2310" width="16.5703125" style="101" bestFit="1" customWidth="1"/>
    <col min="2311" max="2311" width="14" style="101" customWidth="1"/>
    <col min="2312" max="2312" width="19.28515625" style="101" bestFit="1" customWidth="1"/>
    <col min="2313" max="2313" width="14.42578125" style="101" bestFit="1" customWidth="1"/>
    <col min="2314" max="2560" width="11.42578125" style="101"/>
    <col min="2561" max="2561" width="40.42578125" style="101" customWidth="1"/>
    <col min="2562" max="2562" width="16.7109375" style="101" customWidth="1"/>
    <col min="2563" max="2563" width="11.42578125" style="101"/>
    <col min="2564" max="2564" width="16.42578125" style="101" customWidth="1"/>
    <col min="2565" max="2565" width="12.42578125" style="101" bestFit="1" customWidth="1"/>
    <col min="2566" max="2566" width="16.5703125" style="101" bestFit="1" customWidth="1"/>
    <col min="2567" max="2567" width="14" style="101" customWidth="1"/>
    <col min="2568" max="2568" width="19.28515625" style="101" bestFit="1" customWidth="1"/>
    <col min="2569" max="2569" width="14.42578125" style="101" bestFit="1" customWidth="1"/>
    <col min="2570" max="2816" width="11.42578125" style="101"/>
    <col min="2817" max="2817" width="40.42578125" style="101" customWidth="1"/>
    <col min="2818" max="2818" width="16.7109375" style="101" customWidth="1"/>
    <col min="2819" max="2819" width="11.42578125" style="101"/>
    <col min="2820" max="2820" width="16.42578125" style="101" customWidth="1"/>
    <col min="2821" max="2821" width="12.42578125" style="101" bestFit="1" customWidth="1"/>
    <col min="2822" max="2822" width="16.5703125" style="101" bestFit="1" customWidth="1"/>
    <col min="2823" max="2823" width="14" style="101" customWidth="1"/>
    <col min="2824" max="2824" width="19.28515625" style="101" bestFit="1" customWidth="1"/>
    <col min="2825" max="2825" width="14.42578125" style="101" bestFit="1" customWidth="1"/>
    <col min="2826" max="3072" width="11.42578125" style="101"/>
    <col min="3073" max="3073" width="40.42578125" style="101" customWidth="1"/>
    <col min="3074" max="3074" width="16.7109375" style="101" customWidth="1"/>
    <col min="3075" max="3075" width="11.42578125" style="101"/>
    <col min="3076" max="3076" width="16.42578125" style="101" customWidth="1"/>
    <col min="3077" max="3077" width="12.42578125" style="101" bestFit="1" customWidth="1"/>
    <col min="3078" max="3078" width="16.5703125" style="101" bestFit="1" customWidth="1"/>
    <col min="3079" max="3079" width="14" style="101" customWidth="1"/>
    <col min="3080" max="3080" width="19.28515625" style="101" bestFit="1" customWidth="1"/>
    <col min="3081" max="3081" width="14.42578125" style="101" bestFit="1" customWidth="1"/>
    <col min="3082" max="3328" width="11.42578125" style="101"/>
    <col min="3329" max="3329" width="40.42578125" style="101" customWidth="1"/>
    <col min="3330" max="3330" width="16.7109375" style="101" customWidth="1"/>
    <col min="3331" max="3331" width="11.42578125" style="101"/>
    <col min="3332" max="3332" width="16.42578125" style="101" customWidth="1"/>
    <col min="3333" max="3333" width="12.42578125" style="101" bestFit="1" customWidth="1"/>
    <col min="3334" max="3334" width="16.5703125" style="101" bestFit="1" customWidth="1"/>
    <col min="3335" max="3335" width="14" style="101" customWidth="1"/>
    <col min="3336" max="3336" width="19.28515625" style="101" bestFit="1" customWidth="1"/>
    <col min="3337" max="3337" width="14.42578125" style="101" bestFit="1" customWidth="1"/>
    <col min="3338" max="3584" width="11.42578125" style="101"/>
    <col min="3585" max="3585" width="40.42578125" style="101" customWidth="1"/>
    <col min="3586" max="3586" width="16.7109375" style="101" customWidth="1"/>
    <col min="3587" max="3587" width="11.42578125" style="101"/>
    <col min="3588" max="3588" width="16.42578125" style="101" customWidth="1"/>
    <col min="3589" max="3589" width="12.42578125" style="101" bestFit="1" customWidth="1"/>
    <col min="3590" max="3590" width="16.5703125" style="101" bestFit="1" customWidth="1"/>
    <col min="3591" max="3591" width="14" style="101" customWidth="1"/>
    <col min="3592" max="3592" width="19.28515625" style="101" bestFit="1" customWidth="1"/>
    <col min="3593" max="3593" width="14.42578125" style="101" bestFit="1" customWidth="1"/>
    <col min="3594" max="3840" width="11.42578125" style="101"/>
    <col min="3841" max="3841" width="40.42578125" style="101" customWidth="1"/>
    <col min="3842" max="3842" width="16.7109375" style="101" customWidth="1"/>
    <col min="3843" max="3843" width="11.42578125" style="101"/>
    <col min="3844" max="3844" width="16.42578125" style="101" customWidth="1"/>
    <col min="3845" max="3845" width="12.42578125" style="101" bestFit="1" customWidth="1"/>
    <col min="3846" max="3846" width="16.5703125" style="101" bestFit="1" customWidth="1"/>
    <col min="3847" max="3847" width="14" style="101" customWidth="1"/>
    <col min="3848" max="3848" width="19.28515625" style="101" bestFit="1" customWidth="1"/>
    <col min="3849" max="3849" width="14.42578125" style="101" bestFit="1" customWidth="1"/>
    <col min="3850" max="4096" width="11.42578125" style="101"/>
    <col min="4097" max="4097" width="40.42578125" style="101" customWidth="1"/>
    <col min="4098" max="4098" width="16.7109375" style="101" customWidth="1"/>
    <col min="4099" max="4099" width="11.42578125" style="101"/>
    <col min="4100" max="4100" width="16.42578125" style="101" customWidth="1"/>
    <col min="4101" max="4101" width="12.42578125" style="101" bestFit="1" customWidth="1"/>
    <col min="4102" max="4102" width="16.5703125" style="101" bestFit="1" customWidth="1"/>
    <col min="4103" max="4103" width="14" style="101" customWidth="1"/>
    <col min="4104" max="4104" width="19.28515625" style="101" bestFit="1" customWidth="1"/>
    <col min="4105" max="4105" width="14.42578125" style="101" bestFit="1" customWidth="1"/>
    <col min="4106" max="4352" width="11.42578125" style="101"/>
    <col min="4353" max="4353" width="40.42578125" style="101" customWidth="1"/>
    <col min="4354" max="4354" width="16.7109375" style="101" customWidth="1"/>
    <col min="4355" max="4355" width="11.42578125" style="101"/>
    <col min="4356" max="4356" width="16.42578125" style="101" customWidth="1"/>
    <col min="4357" max="4357" width="12.42578125" style="101" bestFit="1" customWidth="1"/>
    <col min="4358" max="4358" width="16.5703125" style="101" bestFit="1" customWidth="1"/>
    <col min="4359" max="4359" width="14" style="101" customWidth="1"/>
    <col min="4360" max="4360" width="19.28515625" style="101" bestFit="1" customWidth="1"/>
    <col min="4361" max="4361" width="14.42578125" style="101" bestFit="1" customWidth="1"/>
    <col min="4362" max="4608" width="11.42578125" style="101"/>
    <col min="4609" max="4609" width="40.42578125" style="101" customWidth="1"/>
    <col min="4610" max="4610" width="16.7109375" style="101" customWidth="1"/>
    <col min="4611" max="4611" width="11.42578125" style="101"/>
    <col min="4612" max="4612" width="16.42578125" style="101" customWidth="1"/>
    <col min="4613" max="4613" width="12.42578125" style="101" bestFit="1" customWidth="1"/>
    <col min="4614" max="4614" width="16.5703125" style="101" bestFit="1" customWidth="1"/>
    <col min="4615" max="4615" width="14" style="101" customWidth="1"/>
    <col min="4616" max="4616" width="19.28515625" style="101" bestFit="1" customWidth="1"/>
    <col min="4617" max="4617" width="14.42578125" style="101" bestFit="1" customWidth="1"/>
    <col min="4618" max="4864" width="11.42578125" style="101"/>
    <col min="4865" max="4865" width="40.42578125" style="101" customWidth="1"/>
    <col min="4866" max="4866" width="16.7109375" style="101" customWidth="1"/>
    <col min="4867" max="4867" width="11.42578125" style="101"/>
    <col min="4868" max="4868" width="16.42578125" style="101" customWidth="1"/>
    <col min="4869" max="4869" width="12.42578125" style="101" bestFit="1" customWidth="1"/>
    <col min="4870" max="4870" width="16.5703125" style="101" bestFit="1" customWidth="1"/>
    <col min="4871" max="4871" width="14" style="101" customWidth="1"/>
    <col min="4872" max="4872" width="19.28515625" style="101" bestFit="1" customWidth="1"/>
    <col min="4873" max="4873" width="14.42578125" style="101" bestFit="1" customWidth="1"/>
    <col min="4874" max="5120" width="11.42578125" style="101"/>
    <col min="5121" max="5121" width="40.42578125" style="101" customWidth="1"/>
    <col min="5122" max="5122" width="16.7109375" style="101" customWidth="1"/>
    <col min="5123" max="5123" width="11.42578125" style="101"/>
    <col min="5124" max="5124" width="16.42578125" style="101" customWidth="1"/>
    <col min="5125" max="5125" width="12.42578125" style="101" bestFit="1" customWidth="1"/>
    <col min="5126" max="5126" width="16.5703125" style="101" bestFit="1" customWidth="1"/>
    <col min="5127" max="5127" width="14" style="101" customWidth="1"/>
    <col min="5128" max="5128" width="19.28515625" style="101" bestFit="1" customWidth="1"/>
    <col min="5129" max="5129" width="14.42578125" style="101" bestFit="1" customWidth="1"/>
    <col min="5130" max="5376" width="11.42578125" style="101"/>
    <col min="5377" max="5377" width="40.42578125" style="101" customWidth="1"/>
    <col min="5378" max="5378" width="16.7109375" style="101" customWidth="1"/>
    <col min="5379" max="5379" width="11.42578125" style="101"/>
    <col min="5380" max="5380" width="16.42578125" style="101" customWidth="1"/>
    <col min="5381" max="5381" width="12.42578125" style="101" bestFit="1" customWidth="1"/>
    <col min="5382" max="5382" width="16.5703125" style="101" bestFit="1" customWidth="1"/>
    <col min="5383" max="5383" width="14" style="101" customWidth="1"/>
    <col min="5384" max="5384" width="19.28515625" style="101" bestFit="1" customWidth="1"/>
    <col min="5385" max="5385" width="14.42578125" style="101" bestFit="1" customWidth="1"/>
    <col min="5386" max="5632" width="11.42578125" style="101"/>
    <col min="5633" max="5633" width="40.42578125" style="101" customWidth="1"/>
    <col min="5634" max="5634" width="16.7109375" style="101" customWidth="1"/>
    <col min="5635" max="5635" width="11.42578125" style="101"/>
    <col min="5636" max="5636" width="16.42578125" style="101" customWidth="1"/>
    <col min="5637" max="5637" width="12.42578125" style="101" bestFit="1" customWidth="1"/>
    <col min="5638" max="5638" width="16.5703125" style="101" bestFit="1" customWidth="1"/>
    <col min="5639" max="5639" width="14" style="101" customWidth="1"/>
    <col min="5640" max="5640" width="19.28515625" style="101" bestFit="1" customWidth="1"/>
    <col min="5641" max="5641" width="14.42578125" style="101" bestFit="1" customWidth="1"/>
    <col min="5642" max="5888" width="11.42578125" style="101"/>
    <col min="5889" max="5889" width="40.42578125" style="101" customWidth="1"/>
    <col min="5890" max="5890" width="16.7109375" style="101" customWidth="1"/>
    <col min="5891" max="5891" width="11.42578125" style="101"/>
    <col min="5892" max="5892" width="16.42578125" style="101" customWidth="1"/>
    <col min="5893" max="5893" width="12.42578125" style="101" bestFit="1" customWidth="1"/>
    <col min="5894" max="5894" width="16.5703125" style="101" bestFit="1" customWidth="1"/>
    <col min="5895" max="5895" width="14" style="101" customWidth="1"/>
    <col min="5896" max="5896" width="19.28515625" style="101" bestFit="1" customWidth="1"/>
    <col min="5897" max="5897" width="14.42578125" style="101" bestFit="1" customWidth="1"/>
    <col min="5898" max="6144" width="11.42578125" style="101"/>
    <col min="6145" max="6145" width="40.42578125" style="101" customWidth="1"/>
    <col min="6146" max="6146" width="16.7109375" style="101" customWidth="1"/>
    <col min="6147" max="6147" width="11.42578125" style="101"/>
    <col min="6148" max="6148" width="16.42578125" style="101" customWidth="1"/>
    <col min="6149" max="6149" width="12.42578125" style="101" bestFit="1" customWidth="1"/>
    <col min="6150" max="6150" width="16.5703125" style="101" bestFit="1" customWidth="1"/>
    <col min="6151" max="6151" width="14" style="101" customWidth="1"/>
    <col min="6152" max="6152" width="19.28515625" style="101" bestFit="1" customWidth="1"/>
    <col min="6153" max="6153" width="14.42578125" style="101" bestFit="1" customWidth="1"/>
    <col min="6154" max="6400" width="11.42578125" style="101"/>
    <col min="6401" max="6401" width="40.42578125" style="101" customWidth="1"/>
    <col min="6402" max="6402" width="16.7109375" style="101" customWidth="1"/>
    <col min="6403" max="6403" width="11.42578125" style="101"/>
    <col min="6404" max="6404" width="16.42578125" style="101" customWidth="1"/>
    <col min="6405" max="6405" width="12.42578125" style="101" bestFit="1" customWidth="1"/>
    <col min="6406" max="6406" width="16.5703125" style="101" bestFit="1" customWidth="1"/>
    <col min="6407" max="6407" width="14" style="101" customWidth="1"/>
    <col min="6408" max="6408" width="19.28515625" style="101" bestFit="1" customWidth="1"/>
    <col min="6409" max="6409" width="14.42578125" style="101" bestFit="1" customWidth="1"/>
    <col min="6410" max="6656" width="11.42578125" style="101"/>
    <col min="6657" max="6657" width="40.42578125" style="101" customWidth="1"/>
    <col min="6658" max="6658" width="16.7109375" style="101" customWidth="1"/>
    <col min="6659" max="6659" width="11.42578125" style="101"/>
    <col min="6660" max="6660" width="16.42578125" style="101" customWidth="1"/>
    <col min="6661" max="6661" width="12.42578125" style="101" bestFit="1" customWidth="1"/>
    <col min="6662" max="6662" width="16.5703125" style="101" bestFit="1" customWidth="1"/>
    <col min="6663" max="6663" width="14" style="101" customWidth="1"/>
    <col min="6664" max="6664" width="19.28515625" style="101" bestFit="1" customWidth="1"/>
    <col min="6665" max="6665" width="14.42578125" style="101" bestFit="1" customWidth="1"/>
    <col min="6666" max="6912" width="11.42578125" style="101"/>
    <col min="6913" max="6913" width="40.42578125" style="101" customWidth="1"/>
    <col min="6914" max="6914" width="16.7109375" style="101" customWidth="1"/>
    <col min="6915" max="6915" width="11.42578125" style="101"/>
    <col min="6916" max="6916" width="16.42578125" style="101" customWidth="1"/>
    <col min="6917" max="6917" width="12.42578125" style="101" bestFit="1" customWidth="1"/>
    <col min="6918" max="6918" width="16.5703125" style="101" bestFit="1" customWidth="1"/>
    <col min="6919" max="6919" width="14" style="101" customWidth="1"/>
    <col min="6920" max="6920" width="19.28515625" style="101" bestFit="1" customWidth="1"/>
    <col min="6921" max="6921" width="14.42578125" style="101" bestFit="1" customWidth="1"/>
    <col min="6922" max="7168" width="11.42578125" style="101"/>
    <col min="7169" max="7169" width="40.42578125" style="101" customWidth="1"/>
    <col min="7170" max="7170" width="16.7109375" style="101" customWidth="1"/>
    <col min="7171" max="7171" width="11.42578125" style="101"/>
    <col min="7172" max="7172" width="16.42578125" style="101" customWidth="1"/>
    <col min="7173" max="7173" width="12.42578125" style="101" bestFit="1" customWidth="1"/>
    <col min="7174" max="7174" width="16.5703125" style="101" bestFit="1" customWidth="1"/>
    <col min="7175" max="7175" width="14" style="101" customWidth="1"/>
    <col min="7176" max="7176" width="19.28515625" style="101" bestFit="1" customWidth="1"/>
    <col min="7177" max="7177" width="14.42578125" style="101" bestFit="1" customWidth="1"/>
    <col min="7178" max="7424" width="11.42578125" style="101"/>
    <col min="7425" max="7425" width="40.42578125" style="101" customWidth="1"/>
    <col min="7426" max="7426" width="16.7109375" style="101" customWidth="1"/>
    <col min="7427" max="7427" width="11.42578125" style="101"/>
    <col min="7428" max="7428" width="16.42578125" style="101" customWidth="1"/>
    <col min="7429" max="7429" width="12.42578125" style="101" bestFit="1" customWidth="1"/>
    <col min="7430" max="7430" width="16.5703125" style="101" bestFit="1" customWidth="1"/>
    <col min="7431" max="7431" width="14" style="101" customWidth="1"/>
    <col min="7432" max="7432" width="19.28515625" style="101" bestFit="1" customWidth="1"/>
    <col min="7433" max="7433" width="14.42578125" style="101" bestFit="1" customWidth="1"/>
    <col min="7434" max="7680" width="11.42578125" style="101"/>
    <col min="7681" max="7681" width="40.42578125" style="101" customWidth="1"/>
    <col min="7682" max="7682" width="16.7109375" style="101" customWidth="1"/>
    <col min="7683" max="7683" width="11.42578125" style="101"/>
    <col min="7684" max="7684" width="16.42578125" style="101" customWidth="1"/>
    <col min="7685" max="7685" width="12.42578125" style="101" bestFit="1" customWidth="1"/>
    <col min="7686" max="7686" width="16.5703125" style="101" bestFit="1" customWidth="1"/>
    <col min="7687" max="7687" width="14" style="101" customWidth="1"/>
    <col min="7688" max="7688" width="19.28515625" style="101" bestFit="1" customWidth="1"/>
    <col min="7689" max="7689" width="14.42578125" style="101" bestFit="1" customWidth="1"/>
    <col min="7690" max="7936" width="11.42578125" style="101"/>
    <col min="7937" max="7937" width="40.42578125" style="101" customWidth="1"/>
    <col min="7938" max="7938" width="16.7109375" style="101" customWidth="1"/>
    <col min="7939" max="7939" width="11.42578125" style="101"/>
    <col min="7940" max="7940" width="16.42578125" style="101" customWidth="1"/>
    <col min="7941" max="7941" width="12.42578125" style="101" bestFit="1" customWidth="1"/>
    <col min="7942" max="7942" width="16.5703125" style="101" bestFit="1" customWidth="1"/>
    <col min="7943" max="7943" width="14" style="101" customWidth="1"/>
    <col min="7944" max="7944" width="19.28515625" style="101" bestFit="1" customWidth="1"/>
    <col min="7945" max="7945" width="14.42578125" style="101" bestFit="1" customWidth="1"/>
    <col min="7946" max="8192" width="11.42578125" style="101"/>
    <col min="8193" max="8193" width="40.42578125" style="101" customWidth="1"/>
    <col min="8194" max="8194" width="16.7109375" style="101" customWidth="1"/>
    <col min="8195" max="8195" width="11.42578125" style="101"/>
    <col min="8196" max="8196" width="16.42578125" style="101" customWidth="1"/>
    <col min="8197" max="8197" width="12.42578125" style="101" bestFit="1" customWidth="1"/>
    <col min="8198" max="8198" width="16.5703125" style="101" bestFit="1" customWidth="1"/>
    <col min="8199" max="8199" width="14" style="101" customWidth="1"/>
    <col min="8200" max="8200" width="19.28515625" style="101" bestFit="1" customWidth="1"/>
    <col min="8201" max="8201" width="14.42578125" style="101" bestFit="1" customWidth="1"/>
    <col min="8202" max="8448" width="11.42578125" style="101"/>
    <col min="8449" max="8449" width="40.42578125" style="101" customWidth="1"/>
    <col min="8450" max="8450" width="16.7109375" style="101" customWidth="1"/>
    <col min="8451" max="8451" width="11.42578125" style="101"/>
    <col min="8452" max="8452" width="16.42578125" style="101" customWidth="1"/>
    <col min="8453" max="8453" width="12.42578125" style="101" bestFit="1" customWidth="1"/>
    <col min="8454" max="8454" width="16.5703125" style="101" bestFit="1" customWidth="1"/>
    <col min="8455" max="8455" width="14" style="101" customWidth="1"/>
    <col min="8456" max="8456" width="19.28515625" style="101" bestFit="1" customWidth="1"/>
    <col min="8457" max="8457" width="14.42578125" style="101" bestFit="1" customWidth="1"/>
    <col min="8458" max="8704" width="11.42578125" style="101"/>
    <col min="8705" max="8705" width="40.42578125" style="101" customWidth="1"/>
    <col min="8706" max="8706" width="16.7109375" style="101" customWidth="1"/>
    <col min="8707" max="8707" width="11.42578125" style="101"/>
    <col min="8708" max="8708" width="16.42578125" style="101" customWidth="1"/>
    <col min="8709" max="8709" width="12.42578125" style="101" bestFit="1" customWidth="1"/>
    <col min="8710" max="8710" width="16.5703125" style="101" bestFit="1" customWidth="1"/>
    <col min="8711" max="8711" width="14" style="101" customWidth="1"/>
    <col min="8712" max="8712" width="19.28515625" style="101" bestFit="1" customWidth="1"/>
    <col min="8713" max="8713" width="14.42578125" style="101" bestFit="1" customWidth="1"/>
    <col min="8714" max="8960" width="11.42578125" style="101"/>
    <col min="8961" max="8961" width="40.42578125" style="101" customWidth="1"/>
    <col min="8962" max="8962" width="16.7109375" style="101" customWidth="1"/>
    <col min="8963" max="8963" width="11.42578125" style="101"/>
    <col min="8964" max="8964" width="16.42578125" style="101" customWidth="1"/>
    <col min="8965" max="8965" width="12.42578125" style="101" bestFit="1" customWidth="1"/>
    <col min="8966" max="8966" width="16.5703125" style="101" bestFit="1" customWidth="1"/>
    <col min="8967" max="8967" width="14" style="101" customWidth="1"/>
    <col min="8968" max="8968" width="19.28515625" style="101" bestFit="1" customWidth="1"/>
    <col min="8969" max="8969" width="14.42578125" style="101" bestFit="1" customWidth="1"/>
    <col min="8970" max="9216" width="11.42578125" style="101"/>
    <col min="9217" max="9217" width="40.42578125" style="101" customWidth="1"/>
    <col min="9218" max="9218" width="16.7109375" style="101" customWidth="1"/>
    <col min="9219" max="9219" width="11.42578125" style="101"/>
    <col min="9220" max="9220" width="16.42578125" style="101" customWidth="1"/>
    <col min="9221" max="9221" width="12.42578125" style="101" bestFit="1" customWidth="1"/>
    <col min="9222" max="9222" width="16.5703125" style="101" bestFit="1" customWidth="1"/>
    <col min="9223" max="9223" width="14" style="101" customWidth="1"/>
    <col min="9224" max="9224" width="19.28515625" style="101" bestFit="1" customWidth="1"/>
    <col min="9225" max="9225" width="14.42578125" style="101" bestFit="1" customWidth="1"/>
    <col min="9226" max="9472" width="11.42578125" style="101"/>
    <col min="9473" max="9473" width="40.42578125" style="101" customWidth="1"/>
    <col min="9474" max="9474" width="16.7109375" style="101" customWidth="1"/>
    <col min="9475" max="9475" width="11.42578125" style="101"/>
    <col min="9476" max="9476" width="16.42578125" style="101" customWidth="1"/>
    <col min="9477" max="9477" width="12.42578125" style="101" bestFit="1" customWidth="1"/>
    <col min="9478" max="9478" width="16.5703125" style="101" bestFit="1" customWidth="1"/>
    <col min="9479" max="9479" width="14" style="101" customWidth="1"/>
    <col min="9480" max="9480" width="19.28515625" style="101" bestFit="1" customWidth="1"/>
    <col min="9481" max="9481" width="14.42578125" style="101" bestFit="1" customWidth="1"/>
    <col min="9482" max="9728" width="11.42578125" style="101"/>
    <col min="9729" max="9729" width="40.42578125" style="101" customWidth="1"/>
    <col min="9730" max="9730" width="16.7109375" style="101" customWidth="1"/>
    <col min="9731" max="9731" width="11.42578125" style="101"/>
    <col min="9732" max="9732" width="16.42578125" style="101" customWidth="1"/>
    <col min="9733" max="9733" width="12.42578125" style="101" bestFit="1" customWidth="1"/>
    <col min="9734" max="9734" width="16.5703125" style="101" bestFit="1" customWidth="1"/>
    <col min="9735" max="9735" width="14" style="101" customWidth="1"/>
    <col min="9736" max="9736" width="19.28515625" style="101" bestFit="1" customWidth="1"/>
    <col min="9737" max="9737" width="14.42578125" style="101" bestFit="1" customWidth="1"/>
    <col min="9738" max="9984" width="11.42578125" style="101"/>
    <col min="9985" max="9985" width="40.42578125" style="101" customWidth="1"/>
    <col min="9986" max="9986" width="16.7109375" style="101" customWidth="1"/>
    <col min="9987" max="9987" width="11.42578125" style="101"/>
    <col min="9988" max="9988" width="16.42578125" style="101" customWidth="1"/>
    <col min="9989" max="9989" width="12.42578125" style="101" bestFit="1" customWidth="1"/>
    <col min="9990" max="9990" width="16.5703125" style="101" bestFit="1" customWidth="1"/>
    <col min="9991" max="9991" width="14" style="101" customWidth="1"/>
    <col min="9992" max="9992" width="19.28515625" style="101" bestFit="1" customWidth="1"/>
    <col min="9993" max="9993" width="14.42578125" style="101" bestFit="1" customWidth="1"/>
    <col min="9994" max="10240" width="11.42578125" style="101"/>
    <col min="10241" max="10241" width="40.42578125" style="101" customWidth="1"/>
    <col min="10242" max="10242" width="16.7109375" style="101" customWidth="1"/>
    <col min="10243" max="10243" width="11.42578125" style="101"/>
    <col min="10244" max="10244" width="16.42578125" style="101" customWidth="1"/>
    <col min="10245" max="10245" width="12.42578125" style="101" bestFit="1" customWidth="1"/>
    <col min="10246" max="10246" width="16.5703125" style="101" bestFit="1" customWidth="1"/>
    <col min="10247" max="10247" width="14" style="101" customWidth="1"/>
    <col min="10248" max="10248" width="19.28515625" style="101" bestFit="1" customWidth="1"/>
    <col min="10249" max="10249" width="14.42578125" style="101" bestFit="1" customWidth="1"/>
    <col min="10250" max="10496" width="11.42578125" style="101"/>
    <col min="10497" max="10497" width="40.42578125" style="101" customWidth="1"/>
    <col min="10498" max="10498" width="16.7109375" style="101" customWidth="1"/>
    <col min="10499" max="10499" width="11.42578125" style="101"/>
    <col min="10500" max="10500" width="16.42578125" style="101" customWidth="1"/>
    <col min="10501" max="10501" width="12.42578125" style="101" bestFit="1" customWidth="1"/>
    <col min="10502" max="10502" width="16.5703125" style="101" bestFit="1" customWidth="1"/>
    <col min="10503" max="10503" width="14" style="101" customWidth="1"/>
    <col min="10504" max="10504" width="19.28515625" style="101" bestFit="1" customWidth="1"/>
    <col min="10505" max="10505" width="14.42578125" style="101" bestFit="1" customWidth="1"/>
    <col min="10506" max="10752" width="11.42578125" style="101"/>
    <col min="10753" max="10753" width="40.42578125" style="101" customWidth="1"/>
    <col min="10754" max="10754" width="16.7109375" style="101" customWidth="1"/>
    <col min="10755" max="10755" width="11.42578125" style="101"/>
    <col min="10756" max="10756" width="16.42578125" style="101" customWidth="1"/>
    <col min="10757" max="10757" width="12.42578125" style="101" bestFit="1" customWidth="1"/>
    <col min="10758" max="10758" width="16.5703125" style="101" bestFit="1" customWidth="1"/>
    <col min="10759" max="10759" width="14" style="101" customWidth="1"/>
    <col min="10760" max="10760" width="19.28515625" style="101" bestFit="1" customWidth="1"/>
    <col min="10761" max="10761" width="14.42578125" style="101" bestFit="1" customWidth="1"/>
    <col min="10762" max="11008" width="11.42578125" style="101"/>
    <col min="11009" max="11009" width="40.42578125" style="101" customWidth="1"/>
    <col min="11010" max="11010" width="16.7109375" style="101" customWidth="1"/>
    <col min="11011" max="11011" width="11.42578125" style="101"/>
    <col min="11012" max="11012" width="16.42578125" style="101" customWidth="1"/>
    <col min="11013" max="11013" width="12.42578125" style="101" bestFit="1" customWidth="1"/>
    <col min="11014" max="11014" width="16.5703125" style="101" bestFit="1" customWidth="1"/>
    <col min="11015" max="11015" width="14" style="101" customWidth="1"/>
    <col min="11016" max="11016" width="19.28515625" style="101" bestFit="1" customWidth="1"/>
    <col min="11017" max="11017" width="14.42578125" style="101" bestFit="1" customWidth="1"/>
    <col min="11018" max="11264" width="11.42578125" style="101"/>
    <col min="11265" max="11265" width="40.42578125" style="101" customWidth="1"/>
    <col min="11266" max="11266" width="16.7109375" style="101" customWidth="1"/>
    <col min="11267" max="11267" width="11.42578125" style="101"/>
    <col min="11268" max="11268" width="16.42578125" style="101" customWidth="1"/>
    <col min="11269" max="11269" width="12.42578125" style="101" bestFit="1" customWidth="1"/>
    <col min="11270" max="11270" width="16.5703125" style="101" bestFit="1" customWidth="1"/>
    <col min="11271" max="11271" width="14" style="101" customWidth="1"/>
    <col min="11272" max="11272" width="19.28515625" style="101" bestFit="1" customWidth="1"/>
    <col min="11273" max="11273" width="14.42578125" style="101" bestFit="1" customWidth="1"/>
    <col min="11274" max="11520" width="11.42578125" style="101"/>
    <col min="11521" max="11521" width="40.42578125" style="101" customWidth="1"/>
    <col min="11522" max="11522" width="16.7109375" style="101" customWidth="1"/>
    <col min="11523" max="11523" width="11.42578125" style="101"/>
    <col min="11524" max="11524" width="16.42578125" style="101" customWidth="1"/>
    <col min="11525" max="11525" width="12.42578125" style="101" bestFit="1" customWidth="1"/>
    <col min="11526" max="11526" width="16.5703125" style="101" bestFit="1" customWidth="1"/>
    <col min="11527" max="11527" width="14" style="101" customWidth="1"/>
    <col min="11528" max="11528" width="19.28515625" style="101" bestFit="1" customWidth="1"/>
    <col min="11529" max="11529" width="14.42578125" style="101" bestFit="1" customWidth="1"/>
    <col min="11530" max="11776" width="11.42578125" style="101"/>
    <col min="11777" max="11777" width="40.42578125" style="101" customWidth="1"/>
    <col min="11778" max="11778" width="16.7109375" style="101" customWidth="1"/>
    <col min="11779" max="11779" width="11.42578125" style="101"/>
    <col min="11780" max="11780" width="16.42578125" style="101" customWidth="1"/>
    <col min="11781" max="11781" width="12.42578125" style="101" bestFit="1" customWidth="1"/>
    <col min="11782" max="11782" width="16.5703125" style="101" bestFit="1" customWidth="1"/>
    <col min="11783" max="11783" width="14" style="101" customWidth="1"/>
    <col min="11784" max="11784" width="19.28515625" style="101" bestFit="1" customWidth="1"/>
    <col min="11785" max="11785" width="14.42578125" style="101" bestFit="1" customWidth="1"/>
    <col min="11786" max="12032" width="11.42578125" style="101"/>
    <col min="12033" max="12033" width="40.42578125" style="101" customWidth="1"/>
    <col min="12034" max="12034" width="16.7109375" style="101" customWidth="1"/>
    <col min="12035" max="12035" width="11.42578125" style="101"/>
    <col min="12036" max="12036" width="16.42578125" style="101" customWidth="1"/>
    <col min="12037" max="12037" width="12.42578125" style="101" bestFit="1" customWidth="1"/>
    <col min="12038" max="12038" width="16.5703125" style="101" bestFit="1" customWidth="1"/>
    <col min="12039" max="12039" width="14" style="101" customWidth="1"/>
    <col min="12040" max="12040" width="19.28515625" style="101" bestFit="1" customWidth="1"/>
    <col min="12041" max="12041" width="14.42578125" style="101" bestFit="1" customWidth="1"/>
    <col min="12042" max="12288" width="11.42578125" style="101"/>
    <col min="12289" max="12289" width="40.42578125" style="101" customWidth="1"/>
    <col min="12290" max="12290" width="16.7109375" style="101" customWidth="1"/>
    <col min="12291" max="12291" width="11.42578125" style="101"/>
    <col min="12292" max="12292" width="16.42578125" style="101" customWidth="1"/>
    <col min="12293" max="12293" width="12.42578125" style="101" bestFit="1" customWidth="1"/>
    <col min="12294" max="12294" width="16.5703125" style="101" bestFit="1" customWidth="1"/>
    <col min="12295" max="12295" width="14" style="101" customWidth="1"/>
    <col min="12296" max="12296" width="19.28515625" style="101" bestFit="1" customWidth="1"/>
    <col min="12297" max="12297" width="14.42578125" style="101" bestFit="1" customWidth="1"/>
    <col min="12298" max="12544" width="11.42578125" style="101"/>
    <col min="12545" max="12545" width="40.42578125" style="101" customWidth="1"/>
    <col min="12546" max="12546" width="16.7109375" style="101" customWidth="1"/>
    <col min="12547" max="12547" width="11.42578125" style="101"/>
    <col min="12548" max="12548" width="16.42578125" style="101" customWidth="1"/>
    <col min="12549" max="12549" width="12.42578125" style="101" bestFit="1" customWidth="1"/>
    <col min="12550" max="12550" width="16.5703125" style="101" bestFit="1" customWidth="1"/>
    <col min="12551" max="12551" width="14" style="101" customWidth="1"/>
    <col min="12552" max="12552" width="19.28515625" style="101" bestFit="1" customWidth="1"/>
    <col min="12553" max="12553" width="14.42578125" style="101" bestFit="1" customWidth="1"/>
    <col min="12554" max="12800" width="11.42578125" style="101"/>
    <col min="12801" max="12801" width="40.42578125" style="101" customWidth="1"/>
    <col min="12802" max="12802" width="16.7109375" style="101" customWidth="1"/>
    <col min="12803" max="12803" width="11.42578125" style="101"/>
    <col min="12804" max="12804" width="16.42578125" style="101" customWidth="1"/>
    <col min="12805" max="12805" width="12.42578125" style="101" bestFit="1" customWidth="1"/>
    <col min="12806" max="12806" width="16.5703125" style="101" bestFit="1" customWidth="1"/>
    <col min="12807" max="12807" width="14" style="101" customWidth="1"/>
    <col min="12808" max="12808" width="19.28515625" style="101" bestFit="1" customWidth="1"/>
    <col min="12809" max="12809" width="14.42578125" style="101" bestFit="1" customWidth="1"/>
    <col min="12810" max="13056" width="11.42578125" style="101"/>
    <col min="13057" max="13057" width="40.42578125" style="101" customWidth="1"/>
    <col min="13058" max="13058" width="16.7109375" style="101" customWidth="1"/>
    <col min="13059" max="13059" width="11.42578125" style="101"/>
    <col min="13060" max="13060" width="16.42578125" style="101" customWidth="1"/>
    <col min="13061" max="13061" width="12.42578125" style="101" bestFit="1" customWidth="1"/>
    <col min="13062" max="13062" width="16.5703125" style="101" bestFit="1" customWidth="1"/>
    <col min="13063" max="13063" width="14" style="101" customWidth="1"/>
    <col min="13064" max="13064" width="19.28515625" style="101" bestFit="1" customWidth="1"/>
    <col min="13065" max="13065" width="14.42578125" style="101" bestFit="1" customWidth="1"/>
    <col min="13066" max="13312" width="11.42578125" style="101"/>
    <col min="13313" max="13313" width="40.42578125" style="101" customWidth="1"/>
    <col min="13314" max="13314" width="16.7109375" style="101" customWidth="1"/>
    <col min="13315" max="13315" width="11.42578125" style="101"/>
    <col min="13316" max="13316" width="16.42578125" style="101" customWidth="1"/>
    <col min="13317" max="13317" width="12.42578125" style="101" bestFit="1" customWidth="1"/>
    <col min="13318" max="13318" width="16.5703125" style="101" bestFit="1" customWidth="1"/>
    <col min="13319" max="13319" width="14" style="101" customWidth="1"/>
    <col min="13320" max="13320" width="19.28515625" style="101" bestFit="1" customWidth="1"/>
    <col min="13321" max="13321" width="14.42578125" style="101" bestFit="1" customWidth="1"/>
    <col min="13322" max="13568" width="11.42578125" style="101"/>
    <col min="13569" max="13569" width="40.42578125" style="101" customWidth="1"/>
    <col min="13570" max="13570" width="16.7109375" style="101" customWidth="1"/>
    <col min="13571" max="13571" width="11.42578125" style="101"/>
    <col min="13572" max="13572" width="16.42578125" style="101" customWidth="1"/>
    <col min="13573" max="13573" width="12.42578125" style="101" bestFit="1" customWidth="1"/>
    <col min="13574" max="13574" width="16.5703125" style="101" bestFit="1" customWidth="1"/>
    <col min="13575" max="13575" width="14" style="101" customWidth="1"/>
    <col min="13576" max="13576" width="19.28515625" style="101" bestFit="1" customWidth="1"/>
    <col min="13577" max="13577" width="14.42578125" style="101" bestFit="1" customWidth="1"/>
    <col min="13578" max="13824" width="11.42578125" style="101"/>
    <col min="13825" max="13825" width="40.42578125" style="101" customWidth="1"/>
    <col min="13826" max="13826" width="16.7109375" style="101" customWidth="1"/>
    <col min="13827" max="13827" width="11.42578125" style="101"/>
    <col min="13828" max="13828" width="16.42578125" style="101" customWidth="1"/>
    <col min="13829" max="13829" width="12.42578125" style="101" bestFit="1" customWidth="1"/>
    <col min="13830" max="13830" width="16.5703125" style="101" bestFit="1" customWidth="1"/>
    <col min="13831" max="13831" width="14" style="101" customWidth="1"/>
    <col min="13832" max="13832" width="19.28515625" style="101" bestFit="1" customWidth="1"/>
    <col min="13833" max="13833" width="14.42578125" style="101" bestFit="1" customWidth="1"/>
    <col min="13834" max="14080" width="11.42578125" style="101"/>
    <col min="14081" max="14081" width="40.42578125" style="101" customWidth="1"/>
    <col min="14082" max="14082" width="16.7109375" style="101" customWidth="1"/>
    <col min="14083" max="14083" width="11.42578125" style="101"/>
    <col min="14084" max="14084" width="16.42578125" style="101" customWidth="1"/>
    <col min="14085" max="14085" width="12.42578125" style="101" bestFit="1" customWidth="1"/>
    <col min="14086" max="14086" width="16.5703125" style="101" bestFit="1" customWidth="1"/>
    <col min="14087" max="14087" width="14" style="101" customWidth="1"/>
    <col min="14088" max="14088" width="19.28515625" style="101" bestFit="1" customWidth="1"/>
    <col min="14089" max="14089" width="14.42578125" style="101" bestFit="1" customWidth="1"/>
    <col min="14090" max="14336" width="11.42578125" style="101"/>
    <col min="14337" max="14337" width="40.42578125" style="101" customWidth="1"/>
    <col min="14338" max="14338" width="16.7109375" style="101" customWidth="1"/>
    <col min="14339" max="14339" width="11.42578125" style="101"/>
    <col min="14340" max="14340" width="16.42578125" style="101" customWidth="1"/>
    <col min="14341" max="14341" width="12.42578125" style="101" bestFit="1" customWidth="1"/>
    <col min="14342" max="14342" width="16.5703125" style="101" bestFit="1" customWidth="1"/>
    <col min="14343" max="14343" width="14" style="101" customWidth="1"/>
    <col min="14344" max="14344" width="19.28515625" style="101" bestFit="1" customWidth="1"/>
    <col min="14345" max="14345" width="14.42578125" style="101" bestFit="1" customWidth="1"/>
    <col min="14346" max="14592" width="11.42578125" style="101"/>
    <col min="14593" max="14593" width="40.42578125" style="101" customWidth="1"/>
    <col min="14594" max="14594" width="16.7109375" style="101" customWidth="1"/>
    <col min="14595" max="14595" width="11.42578125" style="101"/>
    <col min="14596" max="14596" width="16.42578125" style="101" customWidth="1"/>
    <col min="14597" max="14597" width="12.42578125" style="101" bestFit="1" customWidth="1"/>
    <col min="14598" max="14598" width="16.5703125" style="101" bestFit="1" customWidth="1"/>
    <col min="14599" max="14599" width="14" style="101" customWidth="1"/>
    <col min="14600" max="14600" width="19.28515625" style="101" bestFit="1" customWidth="1"/>
    <col min="14601" max="14601" width="14.42578125" style="101" bestFit="1" customWidth="1"/>
    <col min="14602" max="14848" width="11.42578125" style="101"/>
    <col min="14849" max="14849" width="40.42578125" style="101" customWidth="1"/>
    <col min="14850" max="14850" width="16.7109375" style="101" customWidth="1"/>
    <col min="14851" max="14851" width="11.42578125" style="101"/>
    <col min="14852" max="14852" width="16.42578125" style="101" customWidth="1"/>
    <col min="14853" max="14853" width="12.42578125" style="101" bestFit="1" customWidth="1"/>
    <col min="14854" max="14854" width="16.5703125" style="101" bestFit="1" customWidth="1"/>
    <col min="14855" max="14855" width="14" style="101" customWidth="1"/>
    <col min="14856" max="14856" width="19.28515625" style="101" bestFit="1" customWidth="1"/>
    <col min="14857" max="14857" width="14.42578125" style="101" bestFit="1" customWidth="1"/>
    <col min="14858" max="15104" width="11.42578125" style="101"/>
    <col min="15105" max="15105" width="40.42578125" style="101" customWidth="1"/>
    <col min="15106" max="15106" width="16.7109375" style="101" customWidth="1"/>
    <col min="15107" max="15107" width="11.42578125" style="101"/>
    <col min="15108" max="15108" width="16.42578125" style="101" customWidth="1"/>
    <col min="15109" max="15109" width="12.42578125" style="101" bestFit="1" customWidth="1"/>
    <col min="15110" max="15110" width="16.5703125" style="101" bestFit="1" customWidth="1"/>
    <col min="15111" max="15111" width="14" style="101" customWidth="1"/>
    <col min="15112" max="15112" width="19.28515625" style="101" bestFit="1" customWidth="1"/>
    <col min="15113" max="15113" width="14.42578125" style="101" bestFit="1" customWidth="1"/>
    <col min="15114" max="15360" width="11.42578125" style="101"/>
    <col min="15361" max="15361" width="40.42578125" style="101" customWidth="1"/>
    <col min="15362" max="15362" width="16.7109375" style="101" customWidth="1"/>
    <col min="15363" max="15363" width="11.42578125" style="101"/>
    <col min="15364" max="15364" width="16.42578125" style="101" customWidth="1"/>
    <col min="15365" max="15365" width="12.42578125" style="101" bestFit="1" customWidth="1"/>
    <col min="15366" max="15366" width="16.5703125" style="101" bestFit="1" customWidth="1"/>
    <col min="15367" max="15367" width="14" style="101" customWidth="1"/>
    <col min="15368" max="15368" width="19.28515625" style="101" bestFit="1" customWidth="1"/>
    <col min="15369" max="15369" width="14.42578125" style="101" bestFit="1" customWidth="1"/>
    <col min="15370" max="15616" width="11.42578125" style="101"/>
    <col min="15617" max="15617" width="40.42578125" style="101" customWidth="1"/>
    <col min="15618" max="15618" width="16.7109375" style="101" customWidth="1"/>
    <col min="15619" max="15619" width="11.42578125" style="101"/>
    <col min="15620" max="15620" width="16.42578125" style="101" customWidth="1"/>
    <col min="15621" max="15621" width="12.42578125" style="101" bestFit="1" customWidth="1"/>
    <col min="15622" max="15622" width="16.5703125" style="101" bestFit="1" customWidth="1"/>
    <col min="15623" max="15623" width="14" style="101" customWidth="1"/>
    <col min="15624" max="15624" width="19.28515625" style="101" bestFit="1" customWidth="1"/>
    <col min="15625" max="15625" width="14.42578125" style="101" bestFit="1" customWidth="1"/>
    <col min="15626" max="15872" width="11.42578125" style="101"/>
    <col min="15873" max="15873" width="40.42578125" style="101" customWidth="1"/>
    <col min="15874" max="15874" width="16.7109375" style="101" customWidth="1"/>
    <col min="15875" max="15875" width="11.42578125" style="101"/>
    <col min="15876" max="15876" width="16.42578125" style="101" customWidth="1"/>
    <col min="15877" max="15877" width="12.42578125" style="101" bestFit="1" customWidth="1"/>
    <col min="15878" max="15878" width="16.5703125" style="101" bestFit="1" customWidth="1"/>
    <col min="15879" max="15879" width="14" style="101" customWidth="1"/>
    <col min="15880" max="15880" width="19.28515625" style="101" bestFit="1" customWidth="1"/>
    <col min="15881" max="15881" width="14.42578125" style="101" bestFit="1" customWidth="1"/>
    <col min="15882" max="16128" width="11.42578125" style="101"/>
    <col min="16129" max="16129" width="40.42578125" style="101" customWidth="1"/>
    <col min="16130" max="16130" width="16.7109375" style="101" customWidth="1"/>
    <col min="16131" max="16131" width="11.42578125" style="101"/>
    <col min="16132" max="16132" width="16.42578125" style="101" customWidth="1"/>
    <col min="16133" max="16133" width="12.42578125" style="101" bestFit="1" customWidth="1"/>
    <col min="16134" max="16134" width="16.5703125" style="101" bestFit="1" customWidth="1"/>
    <col min="16135" max="16135" width="14" style="101" customWidth="1"/>
    <col min="16136" max="16136" width="19.28515625" style="101" bestFit="1" customWidth="1"/>
    <col min="16137" max="16137" width="14.42578125" style="101" bestFit="1" customWidth="1"/>
    <col min="16138" max="16384" width="11.42578125" style="101"/>
  </cols>
  <sheetData>
    <row r="3" spans="1:10" ht="75.75" customHeight="1" x14ac:dyDescent="0.25">
      <c r="A3" s="580" t="s">
        <v>937</v>
      </c>
      <c r="B3" s="581"/>
      <c r="C3" s="581"/>
      <c r="D3" s="581"/>
      <c r="E3" s="581"/>
      <c r="F3" s="581"/>
      <c r="G3" s="581"/>
      <c r="H3" s="582"/>
    </row>
    <row r="4" spans="1:10" s="195" customFormat="1" ht="20.25" x14ac:dyDescent="0.25">
      <c r="A4" s="194"/>
      <c r="B4" s="194"/>
      <c r="C4" s="194"/>
      <c r="D4" s="194"/>
      <c r="E4" s="194"/>
      <c r="F4" s="194"/>
      <c r="G4" s="194"/>
      <c r="H4" s="194"/>
    </row>
    <row r="5" spans="1:10" s="196" customFormat="1" ht="12" customHeight="1" x14ac:dyDescent="0.25">
      <c r="A5" s="583" t="s">
        <v>739</v>
      </c>
      <c r="B5" s="584"/>
      <c r="C5" s="584"/>
      <c r="D5" s="584"/>
      <c r="E5" s="584"/>
      <c r="F5" s="584"/>
      <c r="G5" s="584"/>
      <c r="H5" s="585"/>
    </row>
    <row r="6" spans="1:10" s="196" customFormat="1" x14ac:dyDescent="0.25">
      <c r="A6" s="197" t="s">
        <v>740</v>
      </c>
      <c r="B6" s="197" t="s">
        <v>741</v>
      </c>
      <c r="C6" s="197" t="s">
        <v>742</v>
      </c>
      <c r="D6" s="197" t="s">
        <v>743</v>
      </c>
      <c r="E6" s="197" t="s">
        <v>744</v>
      </c>
      <c r="F6" s="198" t="s">
        <v>745</v>
      </c>
      <c r="G6" s="197" t="s">
        <v>746</v>
      </c>
      <c r="H6" s="197" t="s">
        <v>747</v>
      </c>
    </row>
    <row r="7" spans="1:10" x14ac:dyDescent="0.25">
      <c r="A7" s="199" t="s">
        <v>775</v>
      </c>
      <c r="B7" s="200">
        <v>4500000</v>
      </c>
      <c r="C7" s="201">
        <v>1.45</v>
      </c>
      <c r="D7" s="202">
        <f>C7*B7</f>
        <v>6525000</v>
      </c>
      <c r="E7" s="203">
        <v>0.2</v>
      </c>
      <c r="F7" s="201">
        <v>5</v>
      </c>
      <c r="G7" s="201">
        <v>1</v>
      </c>
      <c r="H7" s="200">
        <f t="shared" ref="H7:H19" si="0">G7*F7*E7*D7</f>
        <v>6525000</v>
      </c>
    </row>
    <row r="8" spans="1:10" ht="12.75" customHeight="1" x14ac:dyDescent="0.25">
      <c r="A8" s="199" t="s">
        <v>776</v>
      </c>
      <c r="B8" s="200">
        <v>2750000</v>
      </c>
      <c r="C8" s="201">
        <v>1.52</v>
      </c>
      <c r="D8" s="202">
        <f t="shared" ref="D8:D19" si="1">C8*B8</f>
        <v>4180000</v>
      </c>
      <c r="E8" s="203">
        <v>1</v>
      </c>
      <c r="F8" s="201">
        <v>4.5</v>
      </c>
      <c r="G8" s="201">
        <v>1</v>
      </c>
      <c r="H8" s="200">
        <f t="shared" si="0"/>
        <v>18810000</v>
      </c>
    </row>
    <row r="9" spans="1:10" ht="12.75" customHeight="1" x14ac:dyDescent="0.25">
      <c r="A9" s="199" t="s">
        <v>779</v>
      </c>
      <c r="B9" s="200">
        <v>1400000</v>
      </c>
      <c r="C9" s="201">
        <v>1.52</v>
      </c>
      <c r="D9" s="202">
        <f>C9*B9</f>
        <v>2128000</v>
      </c>
      <c r="E9" s="203">
        <v>1</v>
      </c>
      <c r="F9" s="201">
        <v>4</v>
      </c>
      <c r="G9" s="201">
        <v>1</v>
      </c>
      <c r="H9" s="200">
        <f t="shared" ref="H9" si="2">G9*F9*E9*D9</f>
        <v>8512000</v>
      </c>
    </row>
    <row r="10" spans="1:10" hidden="1" x14ac:dyDescent="0.25">
      <c r="A10" s="199" t="s">
        <v>748</v>
      </c>
      <c r="B10" s="200">
        <v>0</v>
      </c>
      <c r="C10" s="201">
        <v>1.52</v>
      </c>
      <c r="D10" s="202">
        <f t="shared" si="1"/>
        <v>0</v>
      </c>
      <c r="E10" s="203">
        <v>0.3</v>
      </c>
      <c r="F10" s="201">
        <v>3</v>
      </c>
      <c r="G10" s="201">
        <v>1</v>
      </c>
      <c r="H10" s="200">
        <f>G10*F10*E10*D10</f>
        <v>0</v>
      </c>
      <c r="I10"/>
      <c r="J10"/>
    </row>
    <row r="11" spans="1:10" hidden="1" x14ac:dyDescent="0.25">
      <c r="A11" s="199" t="s">
        <v>749</v>
      </c>
      <c r="B11" s="200">
        <v>0</v>
      </c>
      <c r="C11" s="201">
        <v>1.52</v>
      </c>
      <c r="D11" s="202">
        <f t="shared" si="1"/>
        <v>0</v>
      </c>
      <c r="E11" s="203">
        <v>0.2</v>
      </c>
      <c r="F11" s="201">
        <v>3</v>
      </c>
      <c r="G11" s="201">
        <v>1</v>
      </c>
      <c r="H11" s="200">
        <f t="shared" si="0"/>
        <v>0</v>
      </c>
    </row>
    <row r="12" spans="1:10" hidden="1" x14ac:dyDescent="0.25">
      <c r="A12" s="199" t="s">
        <v>750</v>
      </c>
      <c r="B12" s="200">
        <v>0</v>
      </c>
      <c r="C12" s="201">
        <v>1.52</v>
      </c>
      <c r="D12" s="202">
        <f t="shared" si="1"/>
        <v>0</v>
      </c>
      <c r="E12" s="203">
        <v>0.2</v>
      </c>
      <c r="F12" s="201">
        <v>3</v>
      </c>
      <c r="G12" s="201">
        <v>1</v>
      </c>
      <c r="H12" s="200">
        <f t="shared" si="0"/>
        <v>0</v>
      </c>
    </row>
    <row r="13" spans="1:10" hidden="1" x14ac:dyDescent="0.25">
      <c r="A13" s="199" t="s">
        <v>777</v>
      </c>
      <c r="B13" s="200">
        <v>0</v>
      </c>
      <c r="C13" s="201">
        <v>1.52</v>
      </c>
      <c r="D13" s="202">
        <f t="shared" si="1"/>
        <v>0</v>
      </c>
      <c r="E13" s="203">
        <v>0.2</v>
      </c>
      <c r="F13" s="201">
        <v>3</v>
      </c>
      <c r="G13" s="201">
        <v>1</v>
      </c>
      <c r="H13" s="200">
        <f t="shared" si="0"/>
        <v>0</v>
      </c>
    </row>
    <row r="14" spans="1:10" ht="13.5" hidden="1" customHeight="1" x14ac:dyDescent="0.25">
      <c r="A14" s="199" t="s">
        <v>778</v>
      </c>
      <c r="B14" s="200">
        <v>0</v>
      </c>
      <c r="C14" s="201">
        <v>1.7</v>
      </c>
      <c r="D14" s="202">
        <f t="shared" si="1"/>
        <v>0</v>
      </c>
      <c r="E14" s="203">
        <v>0.3</v>
      </c>
      <c r="F14" s="201">
        <v>0</v>
      </c>
      <c r="G14" s="201">
        <v>1</v>
      </c>
      <c r="H14" s="200">
        <f t="shared" si="0"/>
        <v>0</v>
      </c>
    </row>
    <row r="15" spans="1:10" hidden="1" x14ac:dyDescent="0.25">
      <c r="A15" s="199" t="s">
        <v>751</v>
      </c>
      <c r="B15" s="200">
        <v>0</v>
      </c>
      <c r="C15" s="201">
        <v>1.7</v>
      </c>
      <c r="D15" s="202">
        <f t="shared" si="1"/>
        <v>0</v>
      </c>
      <c r="E15" s="203">
        <v>1</v>
      </c>
      <c r="F15" s="201">
        <v>5</v>
      </c>
      <c r="G15" s="201">
        <v>1</v>
      </c>
      <c r="H15" s="200">
        <f t="shared" si="0"/>
        <v>0</v>
      </c>
    </row>
    <row r="16" spans="1:10" hidden="1" x14ac:dyDescent="0.25">
      <c r="A16" s="199" t="s">
        <v>752</v>
      </c>
      <c r="B16" s="200">
        <v>0</v>
      </c>
      <c r="C16" s="201">
        <v>1.7</v>
      </c>
      <c r="D16" s="202">
        <f t="shared" si="1"/>
        <v>0</v>
      </c>
      <c r="E16" s="203">
        <v>1</v>
      </c>
      <c r="F16" s="201">
        <v>4</v>
      </c>
      <c r="G16" s="201">
        <v>1</v>
      </c>
      <c r="H16" s="200">
        <f t="shared" si="0"/>
        <v>0</v>
      </c>
    </row>
    <row r="17" spans="1:8" x14ac:dyDescent="0.25">
      <c r="A17" s="199" t="s">
        <v>753</v>
      </c>
      <c r="B17" s="200">
        <v>1850000</v>
      </c>
      <c r="C17" s="201">
        <v>1.52</v>
      </c>
      <c r="D17" s="202">
        <f t="shared" si="1"/>
        <v>2812000</v>
      </c>
      <c r="E17" s="203">
        <v>1</v>
      </c>
      <c r="F17" s="201">
        <v>1</v>
      </c>
      <c r="G17" s="201">
        <v>1</v>
      </c>
      <c r="H17" s="200">
        <f t="shared" si="0"/>
        <v>2812000</v>
      </c>
    </row>
    <row r="18" spans="1:8" x14ac:dyDescent="0.25">
      <c r="A18" s="199" t="s">
        <v>754</v>
      </c>
      <c r="B18" s="200">
        <v>934268.01999990002</v>
      </c>
      <c r="C18" s="201">
        <v>1.52</v>
      </c>
      <c r="D18" s="202">
        <f t="shared" si="1"/>
        <v>1420087.3903998481</v>
      </c>
      <c r="E18" s="203">
        <v>1</v>
      </c>
      <c r="F18" s="201">
        <v>1</v>
      </c>
      <c r="G18" s="201">
        <v>2</v>
      </c>
      <c r="H18" s="200">
        <f t="shared" si="0"/>
        <v>2840174.7807996962</v>
      </c>
    </row>
    <row r="19" spans="1:8" hidden="1" x14ac:dyDescent="0.25">
      <c r="A19" s="199" t="s">
        <v>755</v>
      </c>
      <c r="B19" s="200">
        <v>0</v>
      </c>
      <c r="C19" s="201">
        <v>1.52</v>
      </c>
      <c r="D19" s="202">
        <f t="shared" si="1"/>
        <v>0</v>
      </c>
      <c r="E19" s="203">
        <v>0.2</v>
      </c>
      <c r="F19" s="201">
        <v>4</v>
      </c>
      <c r="G19" s="201">
        <v>1</v>
      </c>
      <c r="H19" s="200">
        <f t="shared" si="0"/>
        <v>0</v>
      </c>
    </row>
    <row r="20" spans="1:8" x14ac:dyDescent="0.25">
      <c r="A20" s="229" t="s">
        <v>756</v>
      </c>
      <c r="B20" s="230"/>
      <c r="C20" s="231"/>
      <c r="D20" s="232"/>
      <c r="E20" s="232"/>
      <c r="F20" s="232"/>
      <c r="G20" s="233"/>
      <c r="H20" s="234">
        <f>SUM(H7:H19)</f>
        <v>39499174.780799694</v>
      </c>
    </row>
    <row r="22" spans="1:8" x14ac:dyDescent="0.25">
      <c r="A22" s="583" t="s">
        <v>757</v>
      </c>
      <c r="B22" s="584"/>
      <c r="C22" s="584"/>
      <c r="D22" s="584"/>
      <c r="E22" s="584"/>
      <c r="F22" s="584"/>
      <c r="G22" s="584"/>
      <c r="H22" s="585"/>
    </row>
    <row r="23" spans="1:8" x14ac:dyDescent="0.25">
      <c r="A23" s="197" t="s">
        <v>450</v>
      </c>
      <c r="B23" s="197" t="s">
        <v>743</v>
      </c>
      <c r="C23" s="197" t="s">
        <v>742</v>
      </c>
      <c r="D23" s="197"/>
      <c r="E23" s="197" t="s">
        <v>744</v>
      </c>
      <c r="F23" s="198" t="s">
        <v>745</v>
      </c>
      <c r="G23" s="197" t="s">
        <v>746</v>
      </c>
      <c r="H23" s="197" t="s">
        <v>747</v>
      </c>
    </row>
    <row r="24" spans="1:8" x14ac:dyDescent="0.25">
      <c r="A24" s="204" t="s">
        <v>758</v>
      </c>
      <c r="B24" s="205">
        <v>2000000</v>
      </c>
      <c r="C24" s="206">
        <v>1.1000000000000001</v>
      </c>
      <c r="D24" s="207"/>
      <c r="E24" s="208">
        <v>1</v>
      </c>
      <c r="F24" s="209">
        <v>1</v>
      </c>
      <c r="G24" s="210">
        <v>2</v>
      </c>
      <c r="H24" s="211">
        <f t="shared" ref="H24:H36" si="3">B24*C24*E24*F24*G24</f>
        <v>4400000</v>
      </c>
    </row>
    <row r="25" spans="1:8" x14ac:dyDescent="0.25">
      <c r="A25" s="204" t="s">
        <v>759</v>
      </c>
      <c r="B25" s="205">
        <v>1000000</v>
      </c>
      <c r="C25" s="206">
        <f>+C24</f>
        <v>1.1000000000000001</v>
      </c>
      <c r="D25" s="207"/>
      <c r="E25" s="208">
        <v>1</v>
      </c>
      <c r="F25" s="209">
        <v>1</v>
      </c>
      <c r="G25" s="210">
        <v>2</v>
      </c>
      <c r="H25" s="211">
        <f t="shared" si="3"/>
        <v>2200000</v>
      </c>
    </row>
    <row r="26" spans="1:8" hidden="1" x14ac:dyDescent="0.25">
      <c r="A26" s="204" t="s">
        <v>760</v>
      </c>
      <c r="B26" s="205">
        <v>0</v>
      </c>
      <c r="C26" s="206">
        <v>1.1000000000000001</v>
      </c>
      <c r="D26" s="207"/>
      <c r="E26" s="208">
        <v>0.3</v>
      </c>
      <c r="F26" s="209">
        <v>4</v>
      </c>
      <c r="G26" s="210">
        <v>1</v>
      </c>
      <c r="H26" s="211">
        <f t="shared" si="3"/>
        <v>0</v>
      </c>
    </row>
    <row r="27" spans="1:8" x14ac:dyDescent="0.25">
      <c r="A27" s="204" t="s">
        <v>761</v>
      </c>
      <c r="B27" s="205">
        <v>1500000</v>
      </c>
      <c r="C27" s="206">
        <v>1.1000000000000001</v>
      </c>
      <c r="D27" s="207"/>
      <c r="E27" s="208">
        <v>1</v>
      </c>
      <c r="F27" s="209">
        <v>1</v>
      </c>
      <c r="G27" s="210">
        <v>1</v>
      </c>
      <c r="H27" s="211">
        <f t="shared" si="3"/>
        <v>1650000.0000000002</v>
      </c>
    </row>
    <row r="28" spans="1:8" ht="12" customHeight="1" x14ac:dyDescent="0.25">
      <c r="A28" s="204" t="s">
        <v>762</v>
      </c>
      <c r="B28" s="205">
        <v>1000000</v>
      </c>
      <c r="C28" s="206">
        <v>1.1000000000000001</v>
      </c>
      <c r="D28" s="207"/>
      <c r="E28" s="208">
        <v>1</v>
      </c>
      <c r="F28" s="209">
        <v>4</v>
      </c>
      <c r="G28" s="210">
        <v>1</v>
      </c>
      <c r="H28" s="211">
        <f>B28*C28*E28*F28*G28</f>
        <v>4400000</v>
      </c>
    </row>
    <row r="29" spans="1:8" x14ac:dyDescent="0.25">
      <c r="A29" s="204" t="s">
        <v>763</v>
      </c>
      <c r="B29" s="212">
        <v>1500000</v>
      </c>
      <c r="C29" s="213">
        <v>1.1000000000000001</v>
      </c>
      <c r="D29" s="202"/>
      <c r="E29" s="203">
        <v>0.1</v>
      </c>
      <c r="F29" s="201">
        <v>1</v>
      </c>
      <c r="G29" s="214">
        <v>3</v>
      </c>
      <c r="H29" s="215">
        <f t="shared" si="3"/>
        <v>495000.00000000012</v>
      </c>
    </row>
    <row r="30" spans="1:8" ht="18" customHeight="1" x14ac:dyDescent="0.25">
      <c r="A30" s="216" t="s">
        <v>764</v>
      </c>
      <c r="B30" s="205">
        <v>1265443.85026739</v>
      </c>
      <c r="C30" s="206">
        <v>1.1000000000000001</v>
      </c>
      <c r="D30" s="207"/>
      <c r="E30" s="208">
        <v>1</v>
      </c>
      <c r="F30" s="209">
        <v>2</v>
      </c>
      <c r="G30" s="210">
        <v>1</v>
      </c>
      <c r="H30" s="211">
        <f t="shared" si="3"/>
        <v>2783976.4705882585</v>
      </c>
    </row>
    <row r="31" spans="1:8" ht="24" hidden="1" customHeight="1" x14ac:dyDescent="0.25">
      <c r="A31" s="216" t="s">
        <v>765</v>
      </c>
      <c r="B31" s="205">
        <v>0</v>
      </c>
      <c r="C31" s="206">
        <v>1.1000000000000001</v>
      </c>
      <c r="D31" s="207"/>
      <c r="E31" s="208">
        <v>1</v>
      </c>
      <c r="F31" s="209">
        <v>1</v>
      </c>
      <c r="G31" s="210">
        <v>1</v>
      </c>
      <c r="H31" s="211">
        <f t="shared" si="3"/>
        <v>0</v>
      </c>
    </row>
    <row r="32" spans="1:8" hidden="1" x14ac:dyDescent="0.25">
      <c r="A32" s="216" t="s">
        <v>766</v>
      </c>
      <c r="B32" s="205">
        <v>0</v>
      </c>
      <c r="C32" s="206">
        <v>1.1000000000000001</v>
      </c>
      <c r="D32" s="207"/>
      <c r="E32" s="208">
        <v>1</v>
      </c>
      <c r="F32" s="217">
        <v>1</v>
      </c>
      <c r="G32" s="210">
        <v>40</v>
      </c>
      <c r="H32" s="211">
        <f t="shared" si="3"/>
        <v>0</v>
      </c>
    </row>
    <row r="33" spans="1:10" hidden="1" x14ac:dyDescent="0.25">
      <c r="A33" s="216" t="s">
        <v>767</v>
      </c>
      <c r="B33" s="205">
        <v>0</v>
      </c>
      <c r="C33" s="206">
        <v>1.1000000000000001</v>
      </c>
      <c r="D33" s="207"/>
      <c r="E33" s="208">
        <v>1</v>
      </c>
      <c r="F33" s="217">
        <v>1</v>
      </c>
      <c r="G33" s="210">
        <v>20</v>
      </c>
      <c r="H33" s="211">
        <f t="shared" si="3"/>
        <v>0</v>
      </c>
    </row>
    <row r="34" spans="1:10" x14ac:dyDescent="0.25">
      <c r="A34" s="204" t="s">
        <v>768</v>
      </c>
      <c r="B34" s="205">
        <v>150000</v>
      </c>
      <c r="C34" s="206">
        <v>1.1000000000000001</v>
      </c>
      <c r="D34" s="207"/>
      <c r="E34" s="208">
        <v>1</v>
      </c>
      <c r="F34" s="209">
        <v>1</v>
      </c>
      <c r="G34" s="210">
        <v>10</v>
      </c>
      <c r="H34" s="211">
        <f t="shared" si="3"/>
        <v>1650000</v>
      </c>
    </row>
    <row r="35" spans="1:10" x14ac:dyDescent="0.25">
      <c r="A35" s="204" t="s">
        <v>769</v>
      </c>
      <c r="B35" s="205">
        <v>10000</v>
      </c>
      <c r="C35" s="206">
        <v>1.1000000000000001</v>
      </c>
      <c r="D35" s="207"/>
      <c r="E35" s="208">
        <v>1</v>
      </c>
      <c r="F35" s="209">
        <v>1</v>
      </c>
      <c r="G35" s="210">
        <v>100</v>
      </c>
      <c r="H35" s="211">
        <f t="shared" si="3"/>
        <v>1100000</v>
      </c>
    </row>
    <row r="36" spans="1:10" hidden="1" x14ac:dyDescent="0.25">
      <c r="A36" s="204" t="s">
        <v>770</v>
      </c>
      <c r="B36" s="205">
        <v>0</v>
      </c>
      <c r="C36" s="206">
        <v>1.1000000000000001</v>
      </c>
      <c r="D36" s="207"/>
      <c r="E36" s="208">
        <v>1</v>
      </c>
      <c r="F36" s="209">
        <v>1</v>
      </c>
      <c r="G36" s="210">
        <v>1</v>
      </c>
      <c r="H36" s="211">
        <f t="shared" si="3"/>
        <v>0</v>
      </c>
    </row>
    <row r="37" spans="1:10" x14ac:dyDescent="0.25">
      <c r="A37" s="229" t="s">
        <v>756</v>
      </c>
      <c r="B37" s="230"/>
      <c r="C37" s="231"/>
      <c r="D37" s="232"/>
      <c r="E37" s="232"/>
      <c r="F37" s="232"/>
      <c r="G37" s="233"/>
      <c r="H37" s="234">
        <f>SUM(H24:H36)</f>
        <v>18678976.470588259</v>
      </c>
    </row>
    <row r="38" spans="1:10" x14ac:dyDescent="0.25">
      <c r="A38" s="218"/>
      <c r="B38" s="219"/>
      <c r="C38" s="220"/>
      <c r="D38" s="221"/>
      <c r="E38" s="222"/>
      <c r="F38" s="223"/>
      <c r="G38" s="223"/>
      <c r="H38" s="224"/>
    </row>
    <row r="39" spans="1:10" x14ac:dyDescent="0.25">
      <c r="A39" s="225"/>
      <c r="B39" s="578" t="s">
        <v>771</v>
      </c>
      <c r="C39" s="579"/>
      <c r="D39" s="579"/>
      <c r="E39" s="579"/>
      <c r="F39" s="579"/>
      <c r="G39" s="235"/>
      <c r="H39" s="236">
        <f>H37+H20</f>
        <v>58178151.251387954</v>
      </c>
    </row>
    <row r="40" spans="1:10" x14ac:dyDescent="0.25">
      <c r="A40" s="225"/>
      <c r="B40" s="586" t="s">
        <v>772</v>
      </c>
      <c r="C40" s="587"/>
      <c r="D40" s="587"/>
      <c r="E40" s="587"/>
      <c r="F40" s="587" t="s">
        <v>773</v>
      </c>
      <c r="G40" s="226">
        <v>0.19</v>
      </c>
      <c r="H40" s="227">
        <f>H39*G40</f>
        <v>11053848.737763712</v>
      </c>
    </row>
    <row r="41" spans="1:10" x14ac:dyDescent="0.25">
      <c r="A41" s="225"/>
      <c r="B41" s="578" t="s">
        <v>774</v>
      </c>
      <c r="C41" s="579"/>
      <c r="D41" s="579"/>
      <c r="E41" s="579"/>
      <c r="F41" s="579" t="s">
        <v>68</v>
      </c>
      <c r="G41" s="235"/>
      <c r="H41" s="540">
        <f>SUM(H39:H40)</f>
        <v>69231999.989151672</v>
      </c>
      <c r="I41" s="541">
        <v>69231999.999434993</v>
      </c>
      <c r="J41" s="542">
        <f>+I41-H41</f>
        <v>1.0283321142196655E-2</v>
      </c>
    </row>
    <row r="42" spans="1:10" x14ac:dyDescent="0.25">
      <c r="A42" s="228"/>
      <c r="B42" s="228"/>
      <c r="C42" s="228"/>
      <c r="D42" s="228"/>
      <c r="E42" s="228"/>
      <c r="F42" s="228"/>
      <c r="G42" s="228"/>
      <c r="H42" s="228"/>
    </row>
    <row r="44" spans="1:10" x14ac:dyDescent="0.25">
      <c r="B44"/>
      <c r="C44"/>
      <c r="D44"/>
      <c r="E44"/>
      <c r="F44"/>
      <c r="G44"/>
      <c r="H44"/>
    </row>
    <row r="45" spans="1:10" x14ac:dyDescent="0.25">
      <c r="B45"/>
      <c r="C45"/>
      <c r="D45"/>
      <c r="E45"/>
      <c r="F45"/>
      <c r="G45"/>
      <c r="H45"/>
    </row>
    <row r="46" spans="1:10" x14ac:dyDescent="0.25">
      <c r="B46"/>
      <c r="C46"/>
      <c r="D46"/>
      <c r="E46"/>
      <c r="F46"/>
      <c r="G46"/>
      <c r="H46"/>
    </row>
    <row r="47" spans="1:10" x14ac:dyDescent="0.25">
      <c r="B47"/>
      <c r="C47"/>
      <c r="D47"/>
      <c r="E47"/>
      <c r="F47"/>
      <c r="G47"/>
      <c r="H47"/>
    </row>
    <row r="48" spans="1:10" x14ac:dyDescent="0.25">
      <c r="B48"/>
      <c r="C48"/>
      <c r="D48"/>
      <c r="E48"/>
      <c r="F48"/>
      <c r="G48"/>
      <c r="H48"/>
    </row>
    <row r="49" spans="2:8" x14ac:dyDescent="0.25">
      <c r="B49"/>
      <c r="C49"/>
      <c r="D49"/>
      <c r="E49"/>
      <c r="F49"/>
      <c r="G49"/>
      <c r="H49"/>
    </row>
  </sheetData>
  <mergeCells count="6">
    <mergeCell ref="B41:F41"/>
    <mergeCell ref="A3:H3"/>
    <mergeCell ref="A5:H5"/>
    <mergeCell ref="A22:H22"/>
    <mergeCell ref="B39:F39"/>
    <mergeCell ref="B40:F40"/>
  </mergeCells>
  <pageMargins left="0.28000000000000003" right="0.33" top="0.33" bottom="0.32" header="0.3" footer="0.3"/>
  <pageSetup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7"/>
  <sheetViews>
    <sheetView view="pageBreakPreview" topLeftCell="A1532" zoomScaleNormal="100" zoomScaleSheetLayoutView="100" workbookViewId="0">
      <selection activeCell="C1474" sqref="C1474"/>
    </sheetView>
  </sheetViews>
  <sheetFormatPr baseColWidth="10" defaultRowHeight="14.25" x14ac:dyDescent="0.2"/>
  <cols>
    <col min="1" max="1" width="39.7109375" style="14" customWidth="1"/>
    <col min="2" max="2" width="13.140625" style="81" customWidth="1"/>
    <col min="3" max="3" width="11.140625" style="87" customWidth="1"/>
    <col min="4" max="4" width="12.85546875" style="15" customWidth="1"/>
    <col min="5" max="5" width="14.140625" style="256" customWidth="1"/>
    <col min="6" max="6" width="16.5703125" style="163" customWidth="1"/>
    <col min="7" max="7" width="15.5703125" style="15" hidden="1" customWidth="1"/>
    <col min="8" max="8" width="11.42578125" style="15"/>
    <col min="9" max="9" width="14.42578125" style="15" bestFit="1" customWidth="1"/>
    <col min="10" max="10" width="32.28515625" style="15" customWidth="1"/>
    <col min="11" max="16384" width="11.42578125" style="15"/>
  </cols>
  <sheetData>
    <row r="1" spans="1:7" ht="15" x14ac:dyDescent="0.25">
      <c r="A1" s="588" t="s">
        <v>941</v>
      </c>
      <c r="B1" s="561"/>
      <c r="C1" s="561"/>
      <c r="D1" s="561"/>
      <c r="E1" s="561"/>
      <c r="F1" s="562"/>
    </row>
    <row r="2" spans="1:7" ht="15" x14ac:dyDescent="0.25">
      <c r="A2" s="589" t="s">
        <v>791</v>
      </c>
      <c r="B2" s="563"/>
      <c r="C2" s="563"/>
      <c r="D2" s="563"/>
      <c r="E2" s="563"/>
      <c r="F2" s="564"/>
    </row>
    <row r="3" spans="1:7" ht="15" x14ac:dyDescent="0.25">
      <c r="A3" s="589" t="s">
        <v>939</v>
      </c>
      <c r="B3" s="563"/>
      <c r="C3" s="563"/>
      <c r="D3" s="563"/>
      <c r="E3" s="563"/>
      <c r="F3" s="564"/>
    </row>
    <row r="4" spans="1:7" ht="15" thickBot="1" x14ac:dyDescent="0.25">
      <c r="A4" s="590"/>
      <c r="B4" s="591"/>
      <c r="C4" s="591"/>
      <c r="D4" s="591"/>
      <c r="E4" s="591"/>
      <c r="F4" s="592"/>
    </row>
    <row r="5" spans="1:7" x14ac:dyDescent="0.2">
      <c r="A5" s="16" t="s">
        <v>232</v>
      </c>
      <c r="B5" s="33"/>
      <c r="C5" s="34"/>
      <c r="D5" s="17"/>
      <c r="E5" s="257"/>
      <c r="F5" s="164"/>
    </row>
    <row r="6" spans="1:7" x14ac:dyDescent="0.2">
      <c r="A6" s="90" t="s">
        <v>242</v>
      </c>
      <c r="B6" s="91"/>
      <c r="C6" s="92"/>
      <c r="D6" s="91" t="s">
        <v>233</v>
      </c>
      <c r="E6" s="258" t="s">
        <v>75</v>
      </c>
      <c r="F6" s="165"/>
    </row>
    <row r="7" spans="1:7" ht="15" thickBot="1" x14ac:dyDescent="0.25">
      <c r="A7" s="20"/>
      <c r="B7" s="37"/>
      <c r="C7" s="38"/>
      <c r="D7" s="21"/>
      <c r="E7" s="259"/>
      <c r="F7" s="166"/>
    </row>
    <row r="8" spans="1:7" ht="15" thickBot="1" x14ac:dyDescent="0.25">
      <c r="A8" s="22" t="s">
        <v>234</v>
      </c>
      <c r="B8" s="41" t="s">
        <v>235</v>
      </c>
      <c r="C8" s="42" t="s">
        <v>236</v>
      </c>
      <c r="D8" s="23" t="s">
        <v>237</v>
      </c>
      <c r="E8" s="260" t="s">
        <v>67</v>
      </c>
      <c r="F8" s="167" t="s">
        <v>238</v>
      </c>
    </row>
    <row r="9" spans="1:7" ht="15.75" thickTop="1" x14ac:dyDescent="0.25">
      <c r="A9" s="24" t="s">
        <v>239</v>
      </c>
      <c r="B9" s="44"/>
      <c r="C9" s="45"/>
      <c r="D9" s="25"/>
      <c r="E9" s="261"/>
      <c r="F9" s="168"/>
    </row>
    <row r="10" spans="1:7" x14ac:dyDescent="0.2">
      <c r="A10" s="27" t="s">
        <v>371</v>
      </c>
      <c r="B10" s="44">
        <v>8000</v>
      </c>
      <c r="C10" s="47">
        <v>0.01</v>
      </c>
      <c r="D10" s="25" t="s">
        <v>372</v>
      </c>
      <c r="E10" s="261">
        <v>0.03</v>
      </c>
      <c r="F10" s="168">
        <f>+B10*C10*(1+E10)</f>
        <v>82.4</v>
      </c>
    </row>
    <row r="11" spans="1:7" x14ac:dyDescent="0.2">
      <c r="A11" s="27" t="s">
        <v>373</v>
      </c>
      <c r="B11" s="44">
        <v>5000</v>
      </c>
      <c r="C11" s="45">
        <v>1E-3</v>
      </c>
      <c r="D11" s="25" t="s">
        <v>111</v>
      </c>
      <c r="E11" s="261">
        <v>0</v>
      </c>
      <c r="F11" s="168">
        <f>+B11*C11*(1+E11)</f>
        <v>5</v>
      </c>
    </row>
    <row r="12" spans="1:7" x14ac:dyDescent="0.2">
      <c r="A12" s="27" t="s">
        <v>374</v>
      </c>
      <c r="B12" s="44">
        <v>17900</v>
      </c>
      <c r="C12" s="45">
        <v>1E-3</v>
      </c>
      <c r="D12" s="25" t="s">
        <v>105</v>
      </c>
      <c r="E12" s="261">
        <v>0</v>
      </c>
      <c r="F12" s="168">
        <f>+B12*C12*(1+E12)</f>
        <v>17.900000000000002</v>
      </c>
    </row>
    <row r="13" spans="1:7" ht="15" thickBot="1" x14ac:dyDescent="0.25">
      <c r="A13" s="27"/>
      <c r="B13" s="44"/>
      <c r="C13" s="45"/>
      <c r="D13" s="25"/>
      <c r="E13" s="261"/>
      <c r="F13" s="168"/>
      <c r="G13" s="55">
        <f>SUM(F10:F12)</f>
        <v>105.30000000000001</v>
      </c>
    </row>
    <row r="14" spans="1:7" ht="15" x14ac:dyDescent="0.25">
      <c r="A14" s="28" t="s">
        <v>240</v>
      </c>
      <c r="B14" s="49"/>
      <c r="C14" s="50"/>
      <c r="D14" s="29"/>
      <c r="E14" s="262"/>
      <c r="F14" s="164"/>
    </row>
    <row r="15" spans="1:7" x14ac:dyDescent="0.2">
      <c r="A15" s="27" t="s">
        <v>78</v>
      </c>
      <c r="B15" s="83">
        <v>5.2650000000000006</v>
      </c>
      <c r="C15" s="45">
        <v>1</v>
      </c>
      <c r="D15" s="25" t="s">
        <v>85</v>
      </c>
      <c r="E15" s="261">
        <v>0</v>
      </c>
      <c r="F15" s="168">
        <v>175</v>
      </c>
    </row>
    <row r="16" spans="1:7" ht="15" thickBot="1" x14ac:dyDescent="0.25">
      <c r="A16" s="20"/>
      <c r="B16" s="39"/>
      <c r="C16" s="38"/>
      <c r="D16" s="21"/>
      <c r="E16" s="259"/>
      <c r="F16" s="166"/>
    </row>
    <row r="17" spans="1:9" ht="15" x14ac:dyDescent="0.25">
      <c r="A17" s="28" t="s">
        <v>116</v>
      </c>
      <c r="B17" s="49"/>
      <c r="C17" s="50"/>
      <c r="D17" s="29"/>
      <c r="E17" s="262"/>
      <c r="F17" s="164"/>
    </row>
    <row r="18" spans="1:9" x14ac:dyDescent="0.2">
      <c r="A18" s="27"/>
      <c r="B18" s="44"/>
      <c r="C18" s="45"/>
      <c r="D18" s="25"/>
      <c r="E18" s="261"/>
      <c r="F18" s="168"/>
    </row>
    <row r="19" spans="1:9" ht="15" thickBot="1" x14ac:dyDescent="0.25">
      <c r="A19" s="20"/>
      <c r="B19" s="39"/>
      <c r="C19" s="38"/>
      <c r="D19" s="21"/>
      <c r="E19" s="259"/>
      <c r="F19" s="166"/>
    </row>
    <row r="20" spans="1:9" ht="15" x14ac:dyDescent="0.25">
      <c r="A20" s="28" t="s">
        <v>70</v>
      </c>
      <c r="B20" s="49"/>
      <c r="C20" s="50"/>
      <c r="D20" s="29"/>
      <c r="E20" s="262"/>
      <c r="F20" s="164"/>
    </row>
    <row r="21" spans="1:9" x14ac:dyDescent="0.2">
      <c r="A21" s="27" t="s">
        <v>74</v>
      </c>
      <c r="B21" s="44">
        <v>11327.304895833335</v>
      </c>
      <c r="C21" s="45">
        <v>0.14000000000000001</v>
      </c>
      <c r="D21" s="25" t="s">
        <v>76</v>
      </c>
      <c r="E21" s="261">
        <v>0</v>
      </c>
      <c r="F21" s="168">
        <v>1585.8226854166671</v>
      </c>
    </row>
    <row r="22" spans="1:9" ht="15" thickBot="1" x14ac:dyDescent="0.25">
      <c r="A22" s="20"/>
      <c r="B22" s="39"/>
      <c r="C22" s="38"/>
      <c r="D22" s="21"/>
      <c r="E22" s="259"/>
      <c r="F22" s="166"/>
    </row>
    <row r="23" spans="1:9" ht="15.75" thickBot="1" x14ac:dyDescent="0.3">
      <c r="A23" s="30"/>
      <c r="B23" s="52"/>
      <c r="C23" s="53"/>
      <c r="D23" s="31"/>
      <c r="E23" s="263" t="s">
        <v>241</v>
      </c>
      <c r="F23" s="169">
        <f>SUM(F10:F21)</f>
        <v>1866.1226854166671</v>
      </c>
    </row>
    <row r="25" spans="1:9" ht="15" thickBot="1" x14ac:dyDescent="0.25"/>
    <row r="26" spans="1:9" x14ac:dyDescent="0.2">
      <c r="A26" s="16" t="s">
        <v>232</v>
      </c>
      <c r="B26" s="33"/>
      <c r="C26" s="34"/>
      <c r="D26" s="17"/>
      <c r="E26" s="257"/>
      <c r="F26" s="164"/>
    </row>
    <row r="27" spans="1:9" x14ac:dyDescent="0.2">
      <c r="A27" s="90" t="s">
        <v>243</v>
      </c>
      <c r="B27" s="91"/>
      <c r="C27" s="92"/>
      <c r="D27" s="91" t="s">
        <v>233</v>
      </c>
      <c r="E27" s="258" t="s">
        <v>75</v>
      </c>
      <c r="F27" s="165"/>
      <c r="I27" s="15" t="e">
        <f>+'PRESUPUESTO RESUMEN'!#REF!</f>
        <v>#REF!</v>
      </c>
    </row>
    <row r="28" spans="1:9" ht="15" thickBot="1" x14ac:dyDescent="0.25">
      <c r="A28" s="20"/>
      <c r="B28" s="37"/>
      <c r="C28" s="38"/>
      <c r="D28" s="21"/>
      <c r="E28" s="259"/>
      <c r="F28" s="166"/>
    </row>
    <row r="29" spans="1:9" ht="15" thickBot="1" x14ac:dyDescent="0.25">
      <c r="A29" s="22" t="s">
        <v>234</v>
      </c>
      <c r="B29" s="41" t="s">
        <v>235</v>
      </c>
      <c r="C29" s="42" t="s">
        <v>236</v>
      </c>
      <c r="D29" s="23" t="s">
        <v>237</v>
      </c>
      <c r="E29" s="260" t="s">
        <v>67</v>
      </c>
      <c r="F29" s="167" t="s">
        <v>238</v>
      </c>
    </row>
    <row r="30" spans="1:9" ht="15.75" thickTop="1" x14ac:dyDescent="0.25">
      <c r="A30" s="24" t="s">
        <v>239</v>
      </c>
      <c r="B30" s="44"/>
      <c r="C30" s="45"/>
      <c r="D30" s="25"/>
      <c r="E30" s="261"/>
      <c r="F30" s="168"/>
    </row>
    <row r="31" spans="1:9" x14ac:dyDescent="0.2">
      <c r="A31" s="27"/>
      <c r="B31" s="44"/>
      <c r="C31" s="47"/>
      <c r="D31" s="25"/>
      <c r="E31" s="261"/>
      <c r="F31" s="168"/>
    </row>
    <row r="32" spans="1:9" x14ac:dyDescent="0.2">
      <c r="A32" s="27"/>
      <c r="B32" s="44"/>
      <c r="C32" s="45"/>
      <c r="D32" s="25"/>
      <c r="E32" s="261"/>
      <c r="F32" s="168"/>
    </row>
    <row r="33" spans="1:10" ht="15" thickBot="1" x14ac:dyDescent="0.25">
      <c r="A33" s="20"/>
      <c r="B33" s="39"/>
      <c r="C33" s="38"/>
      <c r="D33" s="21"/>
      <c r="E33" s="259"/>
      <c r="F33" s="166"/>
    </row>
    <row r="34" spans="1:10" ht="15" x14ac:dyDescent="0.25">
      <c r="A34" s="28" t="s">
        <v>240</v>
      </c>
      <c r="B34" s="49"/>
      <c r="C34" s="50"/>
      <c r="D34" s="29"/>
      <c r="E34" s="262"/>
      <c r="F34" s="164"/>
    </row>
    <row r="35" spans="1:10" x14ac:dyDescent="0.2">
      <c r="A35" s="27" t="s">
        <v>78</v>
      </c>
      <c r="B35" s="44">
        <v>600</v>
      </c>
      <c r="C35" s="45">
        <v>1</v>
      </c>
      <c r="D35" s="25" t="s">
        <v>85</v>
      </c>
      <c r="E35" s="261">
        <v>0</v>
      </c>
      <c r="F35" s="168">
        <f>+B35*C35*(1+E35)</f>
        <v>600</v>
      </c>
      <c r="J35" s="55" t="e">
        <f>$I$27*F35</f>
        <v>#REF!</v>
      </c>
    </row>
    <row r="36" spans="1:10" ht="28.5" x14ac:dyDescent="0.2">
      <c r="A36" s="27" t="s">
        <v>84</v>
      </c>
      <c r="B36" s="44">
        <v>120000</v>
      </c>
      <c r="C36" s="45">
        <v>0.02</v>
      </c>
      <c r="D36" s="25" t="s">
        <v>83</v>
      </c>
      <c r="E36" s="261">
        <v>0</v>
      </c>
      <c r="F36" s="168">
        <f>+B36*C36*(1+E36)</f>
        <v>2400</v>
      </c>
      <c r="J36" s="55" t="e">
        <f t="shared" ref="J36:J37" si="0">$I$27*F36</f>
        <v>#REF!</v>
      </c>
    </row>
    <row r="37" spans="1:10" x14ac:dyDescent="0.2">
      <c r="A37" s="27"/>
      <c r="B37" s="44"/>
      <c r="C37" s="45"/>
      <c r="D37" s="25"/>
      <c r="E37" s="261"/>
      <c r="F37" s="168"/>
      <c r="J37" s="55" t="e">
        <f t="shared" si="0"/>
        <v>#REF!</v>
      </c>
    </row>
    <row r="38" spans="1:10" ht="15" thickBot="1" x14ac:dyDescent="0.25">
      <c r="A38" s="20"/>
      <c r="B38" s="39"/>
      <c r="C38" s="38"/>
      <c r="D38" s="21"/>
      <c r="E38" s="259"/>
      <c r="F38" s="166"/>
    </row>
    <row r="39" spans="1:10" ht="15" x14ac:dyDescent="0.25">
      <c r="A39" s="28" t="s">
        <v>116</v>
      </c>
      <c r="B39" s="49"/>
      <c r="C39" s="50"/>
      <c r="D39" s="29"/>
      <c r="E39" s="262"/>
      <c r="F39" s="164"/>
    </row>
    <row r="40" spans="1:10" ht="28.5" x14ac:dyDescent="0.2">
      <c r="A40" s="362" t="s">
        <v>79</v>
      </c>
      <c r="B40" s="363">
        <v>20000</v>
      </c>
      <c r="C40" s="364">
        <v>0.32500000000000001</v>
      </c>
      <c r="D40" s="363" t="s">
        <v>86</v>
      </c>
      <c r="E40" s="365">
        <v>0.3</v>
      </c>
      <c r="F40" s="366">
        <v>8450</v>
      </c>
      <c r="G40" s="367"/>
      <c r="H40" s="367"/>
      <c r="J40" s="55" t="e">
        <f>$I$27*F40</f>
        <v>#REF!</v>
      </c>
    </row>
    <row r="41" spans="1:10" ht="15" thickBot="1" x14ac:dyDescent="0.25">
      <c r="A41" s="20"/>
      <c r="B41" s="39"/>
      <c r="C41" s="38"/>
      <c r="D41" s="21"/>
      <c r="E41" s="259"/>
      <c r="F41" s="166"/>
    </row>
    <row r="42" spans="1:10" ht="15" x14ac:dyDescent="0.25">
      <c r="A42" s="24" t="s">
        <v>70</v>
      </c>
      <c r="B42" s="44"/>
      <c r="C42" s="45"/>
      <c r="D42" s="25"/>
      <c r="E42" s="261"/>
      <c r="F42" s="168"/>
    </row>
    <row r="43" spans="1:10" x14ac:dyDescent="0.2">
      <c r="A43" s="27" t="s">
        <v>73</v>
      </c>
      <c r="B43" s="44">
        <v>6222.8949166666662</v>
      </c>
      <c r="C43" s="45">
        <v>0.06</v>
      </c>
      <c r="D43" s="25" t="s">
        <v>83</v>
      </c>
      <c r="E43" s="261">
        <v>0</v>
      </c>
      <c r="F43" s="168">
        <f>+B43*C43*(1+E43)</f>
        <v>373.37369499999994</v>
      </c>
      <c r="J43" s="55" t="e">
        <f>$I$27*F43</f>
        <v>#REF!</v>
      </c>
    </row>
    <row r="44" spans="1:10" ht="15" thickBot="1" x14ac:dyDescent="0.25">
      <c r="A44" s="27"/>
      <c r="B44" s="44"/>
      <c r="C44" s="45"/>
      <c r="D44" s="25"/>
      <c r="E44" s="261"/>
      <c r="F44" s="168"/>
    </row>
    <row r="45" spans="1:10" ht="15.75" thickBot="1" x14ac:dyDescent="0.3">
      <c r="A45" s="30"/>
      <c r="B45" s="52"/>
      <c r="C45" s="53"/>
      <c r="D45" s="31"/>
      <c r="E45" s="263" t="s">
        <v>241</v>
      </c>
      <c r="F45" s="169">
        <f>SUM(F31:F43)</f>
        <v>11823.373695</v>
      </c>
    </row>
    <row r="47" spans="1:10" ht="15" thickBot="1" x14ac:dyDescent="0.25"/>
    <row r="48" spans="1:10" x14ac:dyDescent="0.2">
      <c r="A48" s="16" t="s">
        <v>244</v>
      </c>
      <c r="B48" s="33"/>
      <c r="C48" s="34"/>
      <c r="D48" s="17"/>
      <c r="E48" s="257"/>
      <c r="F48" s="164"/>
    </row>
    <row r="49" spans="1:6" x14ac:dyDescent="0.2">
      <c r="A49" s="90" t="s">
        <v>245</v>
      </c>
      <c r="B49" s="91"/>
      <c r="C49" s="92"/>
      <c r="D49" s="91" t="s">
        <v>233</v>
      </c>
      <c r="E49" s="258" t="s">
        <v>75</v>
      </c>
      <c r="F49" s="165"/>
    </row>
    <row r="50" spans="1:6" ht="15" thickBot="1" x14ac:dyDescent="0.25">
      <c r="A50" s="20"/>
      <c r="B50" s="37"/>
      <c r="C50" s="38"/>
      <c r="D50" s="21"/>
      <c r="E50" s="259"/>
      <c r="F50" s="166"/>
    </row>
    <row r="51" spans="1:6" ht="15" thickBot="1" x14ac:dyDescent="0.25">
      <c r="A51" s="22" t="s">
        <v>234</v>
      </c>
      <c r="B51" s="41" t="s">
        <v>235</v>
      </c>
      <c r="C51" s="42" t="s">
        <v>236</v>
      </c>
      <c r="D51" s="23" t="s">
        <v>237</v>
      </c>
      <c r="E51" s="260" t="s">
        <v>67</v>
      </c>
      <c r="F51" s="167" t="s">
        <v>238</v>
      </c>
    </row>
    <row r="52" spans="1:6" ht="15.75" thickTop="1" x14ac:dyDescent="0.25">
      <c r="A52" s="24" t="s">
        <v>239</v>
      </c>
      <c r="B52" s="44"/>
      <c r="C52" s="45"/>
      <c r="D52" s="25"/>
      <c r="E52" s="261"/>
      <c r="F52" s="168"/>
    </row>
    <row r="53" spans="1:6" x14ac:dyDescent="0.2">
      <c r="A53" s="27"/>
      <c r="B53" s="44"/>
      <c r="C53" s="47"/>
      <c r="D53" s="25"/>
      <c r="E53" s="261"/>
      <c r="F53" s="168"/>
    </row>
    <row r="54" spans="1:6" x14ac:dyDescent="0.2">
      <c r="A54" s="27"/>
      <c r="B54" s="44"/>
      <c r="C54" s="45"/>
      <c r="D54" s="25"/>
      <c r="E54" s="261"/>
      <c r="F54" s="168"/>
    </row>
    <row r="55" spans="1:6" ht="15" thickBot="1" x14ac:dyDescent="0.25">
      <c r="A55" s="20"/>
      <c r="B55" s="39"/>
      <c r="C55" s="38"/>
      <c r="D55" s="21"/>
      <c r="E55" s="259"/>
      <c r="F55" s="166"/>
    </row>
    <row r="56" spans="1:6" ht="15" x14ac:dyDescent="0.25">
      <c r="A56" s="28" t="s">
        <v>240</v>
      </c>
      <c r="B56" s="49"/>
      <c r="C56" s="50"/>
      <c r="D56" s="29"/>
      <c r="E56" s="262"/>
      <c r="F56" s="164"/>
    </row>
    <row r="57" spans="1:6" x14ac:dyDescent="0.2">
      <c r="A57" s="27" t="s">
        <v>78</v>
      </c>
      <c r="B57" s="44">
        <v>481</v>
      </c>
      <c r="C57" s="45">
        <v>1</v>
      </c>
      <c r="D57" s="25" t="s">
        <v>85</v>
      </c>
      <c r="E57" s="261">
        <v>0</v>
      </c>
      <c r="F57" s="168">
        <v>481</v>
      </c>
    </row>
    <row r="58" spans="1:6" x14ac:dyDescent="0.2">
      <c r="A58" s="27" t="s">
        <v>163</v>
      </c>
      <c r="B58" s="44">
        <v>150000</v>
      </c>
      <c r="C58" s="45">
        <v>0.04</v>
      </c>
      <c r="D58" s="25" t="s">
        <v>83</v>
      </c>
      <c r="E58" s="261">
        <v>0</v>
      </c>
      <c r="F58" s="168">
        <f>+B58*C58*(1+E58)</f>
        <v>6000</v>
      </c>
    </row>
    <row r="59" spans="1:6" x14ac:dyDescent="0.2">
      <c r="A59" s="27"/>
      <c r="B59" s="44"/>
      <c r="C59" s="45"/>
      <c r="D59" s="25"/>
      <c r="E59" s="261"/>
      <c r="F59" s="168"/>
    </row>
    <row r="60" spans="1:6" ht="15" thickBot="1" x14ac:dyDescent="0.25">
      <c r="A60" s="20"/>
      <c r="B60" s="39"/>
      <c r="C60" s="38"/>
      <c r="D60" s="21"/>
      <c r="E60" s="259"/>
      <c r="F60" s="166"/>
    </row>
    <row r="61" spans="1:6" ht="15" x14ac:dyDescent="0.25">
      <c r="A61" s="28" t="s">
        <v>116</v>
      </c>
      <c r="B61" s="49"/>
      <c r="C61" s="50"/>
      <c r="D61" s="29"/>
      <c r="E61" s="262"/>
      <c r="F61" s="164"/>
    </row>
    <row r="62" spans="1:6" ht="28.5" x14ac:dyDescent="0.2">
      <c r="A62" s="27" t="s">
        <v>79</v>
      </c>
      <c r="B62" s="44">
        <v>20000</v>
      </c>
      <c r="C62" s="45">
        <v>9.1000000000000011E-2</v>
      </c>
      <c r="D62" s="25" t="s">
        <v>86</v>
      </c>
      <c r="E62" s="261">
        <v>0.3</v>
      </c>
      <c r="F62" s="168">
        <f>+B62*C62*(1+E62)</f>
        <v>2366.0000000000005</v>
      </c>
    </row>
    <row r="63" spans="1:6" ht="15" thickBot="1" x14ac:dyDescent="0.25">
      <c r="A63" s="20"/>
      <c r="B63" s="39"/>
      <c r="C63" s="38"/>
      <c r="D63" s="21"/>
      <c r="E63" s="259"/>
      <c r="F63" s="166"/>
    </row>
    <row r="64" spans="1:6" ht="15" x14ac:dyDescent="0.25">
      <c r="A64" s="24" t="s">
        <v>70</v>
      </c>
      <c r="B64" s="44"/>
      <c r="C64" s="45"/>
      <c r="D64" s="25"/>
      <c r="E64" s="261"/>
      <c r="F64" s="168"/>
    </row>
    <row r="65" spans="1:7" x14ac:dyDescent="0.2">
      <c r="A65" s="27" t="s">
        <v>73</v>
      </c>
      <c r="B65" s="44">
        <v>6222.8949166666662</v>
      </c>
      <c r="C65" s="45">
        <v>0.2</v>
      </c>
      <c r="D65" s="25" t="s">
        <v>83</v>
      </c>
      <c r="E65" s="261">
        <v>0</v>
      </c>
      <c r="F65" s="168">
        <v>1244.5789833333333</v>
      </c>
    </row>
    <row r="66" spans="1:7" ht="15" thickBot="1" x14ac:dyDescent="0.25">
      <c r="A66" s="27"/>
      <c r="B66" s="44"/>
      <c r="C66" s="45"/>
      <c r="D66" s="25"/>
      <c r="E66" s="261"/>
      <c r="F66" s="168"/>
    </row>
    <row r="67" spans="1:7" ht="15.75" thickBot="1" x14ac:dyDescent="0.3">
      <c r="A67" s="30"/>
      <c r="B67" s="52"/>
      <c r="C67" s="53"/>
      <c r="D67" s="31"/>
      <c r="E67" s="263" t="s">
        <v>241</v>
      </c>
      <c r="F67" s="169">
        <f>SUM(F53:F65)</f>
        <v>10091.578983333333</v>
      </c>
    </row>
    <row r="69" spans="1:7" ht="15" thickBot="1" x14ac:dyDescent="0.25"/>
    <row r="70" spans="1:7" x14ac:dyDescent="0.2">
      <c r="A70" s="16" t="s">
        <v>244</v>
      </c>
      <c r="B70" s="33"/>
      <c r="C70" s="34"/>
      <c r="D70" s="17"/>
      <c r="E70" s="257"/>
      <c r="F70" s="164"/>
    </row>
    <row r="71" spans="1:7" x14ac:dyDescent="0.2">
      <c r="A71" s="90" t="s">
        <v>246</v>
      </c>
      <c r="B71" s="91"/>
      <c r="C71" s="92"/>
      <c r="D71" s="91" t="s">
        <v>233</v>
      </c>
      <c r="E71" s="258" t="s">
        <v>71</v>
      </c>
      <c r="F71" s="165"/>
    </row>
    <row r="72" spans="1:7" ht="15" thickBot="1" x14ac:dyDescent="0.25">
      <c r="A72" s="20"/>
      <c r="B72" s="37"/>
      <c r="C72" s="38"/>
      <c r="D72" s="21"/>
      <c r="E72" s="259"/>
      <c r="F72" s="166"/>
    </row>
    <row r="73" spans="1:7" ht="15" thickBot="1" x14ac:dyDescent="0.25">
      <c r="A73" s="22" t="s">
        <v>234</v>
      </c>
      <c r="B73" s="41" t="s">
        <v>235</v>
      </c>
      <c r="C73" s="42" t="s">
        <v>236</v>
      </c>
      <c r="D73" s="23" t="s">
        <v>237</v>
      </c>
      <c r="E73" s="260" t="s">
        <v>67</v>
      </c>
      <c r="F73" s="167" t="s">
        <v>238</v>
      </c>
    </row>
    <row r="74" spans="1:7" ht="15.75" thickTop="1" x14ac:dyDescent="0.25">
      <c r="A74" s="24" t="s">
        <v>239</v>
      </c>
      <c r="B74" s="44"/>
      <c r="C74" s="45"/>
      <c r="D74" s="25"/>
      <c r="E74" s="261"/>
      <c r="F74" s="168"/>
    </row>
    <row r="75" spans="1:7" x14ac:dyDescent="0.2">
      <c r="A75" s="27" t="s">
        <v>113</v>
      </c>
      <c r="B75" s="44">
        <f>200000/6</f>
        <v>33333.333333333336</v>
      </c>
      <c r="C75" s="47">
        <v>1</v>
      </c>
      <c r="D75" s="25" t="s">
        <v>69</v>
      </c>
      <c r="E75" s="261">
        <v>0.2</v>
      </c>
      <c r="F75" s="168">
        <f>+B75*C75*(1+E75)</f>
        <v>40000</v>
      </c>
    </row>
    <row r="76" spans="1:7" x14ac:dyDescent="0.2">
      <c r="A76" s="27"/>
      <c r="B76" s="44"/>
      <c r="C76" s="45"/>
      <c r="D76" s="25"/>
      <c r="E76" s="261"/>
      <c r="F76" s="168"/>
    </row>
    <row r="77" spans="1:7" ht="15" thickBot="1" x14ac:dyDescent="0.25">
      <c r="A77" s="20"/>
      <c r="B77" s="39"/>
      <c r="C77" s="38"/>
      <c r="D77" s="21"/>
      <c r="E77" s="259"/>
      <c r="F77" s="166"/>
      <c r="G77" s="55">
        <f>SUM(F74:F76)</f>
        <v>40000</v>
      </c>
    </row>
    <row r="78" spans="1:7" ht="15" x14ac:dyDescent="0.25">
      <c r="A78" s="28" t="s">
        <v>240</v>
      </c>
      <c r="B78" s="49"/>
      <c r="C78" s="50"/>
      <c r="D78" s="29"/>
      <c r="E78" s="262"/>
      <c r="F78" s="164"/>
    </row>
    <row r="79" spans="1:7" x14ac:dyDescent="0.2">
      <c r="A79" s="27" t="s">
        <v>93</v>
      </c>
      <c r="B79" s="44">
        <v>2561</v>
      </c>
      <c r="C79" s="45">
        <v>1</v>
      </c>
      <c r="D79" s="25" t="s">
        <v>69</v>
      </c>
      <c r="E79" s="261">
        <v>0</v>
      </c>
      <c r="F79" s="168">
        <v>2561</v>
      </c>
    </row>
    <row r="80" spans="1:7" x14ac:dyDescent="0.2">
      <c r="A80" s="27" t="s">
        <v>163</v>
      </c>
      <c r="B80" s="44">
        <v>150000</v>
      </c>
      <c r="C80" s="45">
        <v>2.5000000000000001E-2</v>
      </c>
      <c r="D80" s="25" t="s">
        <v>77</v>
      </c>
      <c r="E80" s="261">
        <v>0</v>
      </c>
      <c r="F80" s="168">
        <v>3750</v>
      </c>
    </row>
    <row r="81" spans="1:6" ht="28.5" x14ac:dyDescent="0.2">
      <c r="A81" s="27" t="s">
        <v>164</v>
      </c>
      <c r="B81" s="44">
        <v>140000</v>
      </c>
      <c r="C81" s="45">
        <f>1/20</f>
        <v>0.05</v>
      </c>
      <c r="D81" s="25" t="s">
        <v>77</v>
      </c>
      <c r="E81" s="261">
        <v>0</v>
      </c>
      <c r="F81" s="168">
        <f>+B81*C81*(1+E81)</f>
        <v>7000</v>
      </c>
    </row>
    <row r="82" spans="1:6" ht="15" thickBot="1" x14ac:dyDescent="0.25">
      <c r="A82" s="20"/>
      <c r="B82" s="39"/>
      <c r="C82" s="38"/>
      <c r="D82" s="21"/>
      <c r="E82" s="259"/>
      <c r="F82" s="166"/>
    </row>
    <row r="83" spans="1:6" ht="15" x14ac:dyDescent="0.25">
      <c r="A83" s="28" t="s">
        <v>116</v>
      </c>
      <c r="B83" s="49"/>
      <c r="C83" s="50"/>
      <c r="D83" s="29"/>
      <c r="E83" s="262"/>
      <c r="F83" s="164"/>
    </row>
    <row r="84" spans="1:6" x14ac:dyDescent="0.2">
      <c r="A84" s="27"/>
      <c r="B84" s="44"/>
      <c r="C84" s="45"/>
      <c r="D84" s="25"/>
      <c r="E84" s="261"/>
      <c r="F84" s="168"/>
    </row>
    <row r="85" spans="1:6" ht="15" thickBot="1" x14ac:dyDescent="0.25">
      <c r="A85" s="20"/>
      <c r="B85" s="39"/>
      <c r="C85" s="38"/>
      <c r="D85" s="21"/>
      <c r="E85" s="259"/>
      <c r="F85" s="166"/>
    </row>
    <row r="86" spans="1:6" ht="15" x14ac:dyDescent="0.25">
      <c r="A86" s="24" t="s">
        <v>70</v>
      </c>
      <c r="B86" s="44"/>
      <c r="C86" s="45"/>
      <c r="D86" s="25"/>
      <c r="E86" s="261"/>
      <c r="F86" s="168"/>
    </row>
    <row r="87" spans="1:6" x14ac:dyDescent="0.2">
      <c r="A87" s="27" t="s">
        <v>70</v>
      </c>
      <c r="B87" s="44">
        <v>9198.3962499999998</v>
      </c>
      <c r="C87" s="45">
        <v>0.05</v>
      </c>
      <c r="D87" s="25" t="s">
        <v>77</v>
      </c>
      <c r="E87" s="261">
        <v>0</v>
      </c>
      <c r="F87" s="168">
        <v>459.91981250000003</v>
      </c>
    </row>
    <row r="88" spans="1:6" ht="15" thickBot="1" x14ac:dyDescent="0.25">
      <c r="A88" s="27"/>
      <c r="B88" s="44"/>
      <c r="C88" s="45"/>
      <c r="D88" s="25"/>
      <c r="E88" s="261"/>
      <c r="F88" s="168"/>
    </row>
    <row r="89" spans="1:6" ht="15.75" thickBot="1" x14ac:dyDescent="0.3">
      <c r="A89" s="30"/>
      <c r="B89" s="52"/>
      <c r="C89" s="53"/>
      <c r="D89" s="31"/>
      <c r="E89" s="263" t="s">
        <v>241</v>
      </c>
      <c r="F89" s="169">
        <f>SUM(F75:F87)</f>
        <v>53770.919812499997</v>
      </c>
    </row>
    <row r="91" spans="1:6" ht="15" thickBot="1" x14ac:dyDescent="0.25"/>
    <row r="92" spans="1:6" x14ac:dyDescent="0.2">
      <c r="A92" s="16" t="s">
        <v>244</v>
      </c>
      <c r="B92" s="33"/>
      <c r="C92" s="34"/>
      <c r="D92" s="17"/>
      <c r="E92" s="257"/>
      <c r="F92" s="164"/>
    </row>
    <row r="93" spans="1:6" x14ac:dyDescent="0.2">
      <c r="A93" s="90" t="s">
        <v>247</v>
      </c>
      <c r="B93" s="91"/>
      <c r="C93" s="92"/>
      <c r="D93" s="91" t="s">
        <v>233</v>
      </c>
      <c r="E93" s="258" t="s">
        <v>71</v>
      </c>
      <c r="F93" s="165"/>
    </row>
    <row r="94" spans="1:6" ht="15" thickBot="1" x14ac:dyDescent="0.25">
      <c r="A94" s="20"/>
      <c r="B94" s="37"/>
      <c r="C94" s="38"/>
      <c r="D94" s="21"/>
      <c r="E94" s="259"/>
      <c r="F94" s="166"/>
    </row>
    <row r="95" spans="1:6" ht="15" thickBot="1" x14ac:dyDescent="0.25">
      <c r="A95" s="22" t="s">
        <v>234</v>
      </c>
      <c r="B95" s="41" t="s">
        <v>235</v>
      </c>
      <c r="C95" s="42" t="s">
        <v>236</v>
      </c>
      <c r="D95" s="23" t="s">
        <v>237</v>
      </c>
      <c r="E95" s="260" t="s">
        <v>67</v>
      </c>
      <c r="F95" s="167" t="s">
        <v>238</v>
      </c>
    </row>
    <row r="96" spans="1:6" ht="15.75" thickTop="1" x14ac:dyDescent="0.25">
      <c r="A96" s="24" t="s">
        <v>239</v>
      </c>
      <c r="B96" s="44"/>
      <c r="C96" s="45"/>
      <c r="D96" s="25"/>
      <c r="E96" s="261"/>
      <c r="F96" s="168"/>
    </row>
    <row r="97" spans="1:6" x14ac:dyDescent="0.2">
      <c r="A97" s="27"/>
      <c r="B97" s="44"/>
      <c r="C97" s="47"/>
      <c r="D97" s="25"/>
      <c r="E97" s="261"/>
      <c r="F97" s="168"/>
    </row>
    <row r="98" spans="1:6" x14ac:dyDescent="0.2">
      <c r="A98" s="27"/>
      <c r="B98" s="44"/>
      <c r="C98" s="45"/>
      <c r="D98" s="25"/>
      <c r="E98" s="261"/>
      <c r="F98" s="168"/>
    </row>
    <row r="99" spans="1:6" ht="15" thickBot="1" x14ac:dyDescent="0.25">
      <c r="A99" s="20"/>
      <c r="B99" s="39"/>
      <c r="C99" s="38"/>
      <c r="D99" s="21"/>
      <c r="E99" s="259"/>
      <c r="F99" s="166"/>
    </row>
    <row r="100" spans="1:6" ht="15" x14ac:dyDescent="0.25">
      <c r="A100" s="28" t="s">
        <v>240</v>
      </c>
      <c r="B100" s="49"/>
      <c r="C100" s="50"/>
      <c r="D100" s="29"/>
      <c r="E100" s="262"/>
      <c r="F100" s="164"/>
    </row>
    <row r="101" spans="1:6" x14ac:dyDescent="0.2">
      <c r="A101" s="27" t="s">
        <v>78</v>
      </c>
      <c r="B101" s="44">
        <v>135</v>
      </c>
      <c r="C101" s="45">
        <v>1</v>
      </c>
      <c r="D101" s="25" t="s">
        <v>69</v>
      </c>
      <c r="E101" s="261">
        <v>0</v>
      </c>
      <c r="F101" s="168">
        <v>135</v>
      </c>
    </row>
    <row r="102" spans="1:6" x14ac:dyDescent="0.2">
      <c r="A102" s="27"/>
      <c r="B102" s="44"/>
      <c r="C102" s="45"/>
      <c r="D102" s="25"/>
      <c r="E102" s="261"/>
      <c r="F102" s="168"/>
    </row>
    <row r="103" spans="1:6" x14ac:dyDescent="0.2">
      <c r="A103" s="27"/>
      <c r="B103" s="44"/>
      <c r="C103" s="45"/>
      <c r="D103" s="25"/>
      <c r="E103" s="261"/>
      <c r="F103" s="168"/>
    </row>
    <row r="104" spans="1:6" ht="15" thickBot="1" x14ac:dyDescent="0.25">
      <c r="A104" s="20"/>
      <c r="B104" s="39"/>
      <c r="C104" s="38"/>
      <c r="D104" s="21"/>
      <c r="E104" s="259"/>
      <c r="F104" s="166"/>
    </row>
    <row r="105" spans="1:6" ht="15" x14ac:dyDescent="0.25">
      <c r="A105" s="28" t="s">
        <v>116</v>
      </c>
      <c r="B105" s="49"/>
      <c r="C105" s="50"/>
      <c r="D105" s="29"/>
      <c r="E105" s="262"/>
      <c r="F105" s="164"/>
    </row>
    <row r="106" spans="1:6" ht="28.5" x14ac:dyDescent="0.2">
      <c r="A106" s="27" t="s">
        <v>79</v>
      </c>
      <c r="B106" s="44">
        <v>20000</v>
      </c>
      <c r="C106" s="45">
        <v>1.2</v>
      </c>
      <c r="D106" s="25" t="s">
        <v>69</v>
      </c>
      <c r="E106" s="261">
        <v>0</v>
      </c>
      <c r="F106" s="168">
        <v>24000</v>
      </c>
    </row>
    <row r="107" spans="1:6" ht="15" thickBot="1" x14ac:dyDescent="0.25">
      <c r="A107" s="20"/>
      <c r="B107" s="39"/>
      <c r="C107" s="38"/>
      <c r="D107" s="21"/>
      <c r="E107" s="259"/>
      <c r="F107" s="166"/>
    </row>
    <row r="108" spans="1:6" ht="15" x14ac:dyDescent="0.25">
      <c r="A108" s="24" t="s">
        <v>70</v>
      </c>
      <c r="B108" s="44"/>
      <c r="C108" s="45"/>
      <c r="D108" s="25"/>
      <c r="E108" s="261"/>
      <c r="F108" s="168"/>
    </row>
    <row r="109" spans="1:6" x14ac:dyDescent="0.2">
      <c r="A109" s="27" t="s">
        <v>73</v>
      </c>
      <c r="B109" s="44">
        <v>6222.8949166666662</v>
      </c>
      <c r="C109" s="45">
        <v>0.75</v>
      </c>
      <c r="D109" s="25" t="s">
        <v>77</v>
      </c>
      <c r="E109" s="261">
        <v>0</v>
      </c>
      <c r="F109" s="168">
        <v>4667.1711875000001</v>
      </c>
    </row>
    <row r="110" spans="1:6" ht="15" thickBot="1" x14ac:dyDescent="0.25">
      <c r="A110" s="27"/>
      <c r="B110" s="44"/>
      <c r="C110" s="45"/>
      <c r="D110" s="25"/>
      <c r="E110" s="261"/>
      <c r="F110" s="168"/>
    </row>
    <row r="111" spans="1:6" ht="15.75" thickBot="1" x14ac:dyDescent="0.3">
      <c r="A111" s="30"/>
      <c r="B111" s="52"/>
      <c r="C111" s="53"/>
      <c r="D111" s="31"/>
      <c r="E111" s="263" t="s">
        <v>241</v>
      </c>
      <c r="F111" s="169">
        <f>SUM(F97:F109)</f>
        <v>28802.1711875</v>
      </c>
    </row>
    <row r="113" spans="1:6" ht="15" thickBot="1" x14ac:dyDescent="0.25"/>
    <row r="114" spans="1:6" x14ac:dyDescent="0.2">
      <c r="A114" s="16" t="s">
        <v>244</v>
      </c>
      <c r="B114" s="33"/>
      <c r="C114" s="34"/>
      <c r="D114" s="17"/>
      <c r="E114" s="257"/>
      <c r="F114" s="164"/>
    </row>
    <row r="115" spans="1:6" x14ac:dyDescent="0.2">
      <c r="A115" s="90" t="s">
        <v>248</v>
      </c>
      <c r="B115" s="91"/>
      <c r="C115" s="92"/>
      <c r="D115" s="91" t="s">
        <v>233</v>
      </c>
      <c r="E115" s="258" t="s">
        <v>71</v>
      </c>
      <c r="F115" s="165"/>
    </row>
    <row r="116" spans="1:6" ht="15" thickBot="1" x14ac:dyDescent="0.25">
      <c r="A116" s="20"/>
      <c r="B116" s="37"/>
      <c r="C116" s="38"/>
      <c r="D116" s="21"/>
      <c r="E116" s="259"/>
      <c r="F116" s="166"/>
    </row>
    <row r="117" spans="1:6" ht="15" thickBot="1" x14ac:dyDescent="0.25">
      <c r="A117" s="22" t="s">
        <v>234</v>
      </c>
      <c r="B117" s="41" t="s">
        <v>235</v>
      </c>
      <c r="C117" s="42" t="s">
        <v>236</v>
      </c>
      <c r="D117" s="23" t="s">
        <v>237</v>
      </c>
      <c r="E117" s="260" t="s">
        <v>67</v>
      </c>
      <c r="F117" s="167" t="s">
        <v>238</v>
      </c>
    </row>
    <row r="118" spans="1:6" ht="15.75" thickTop="1" x14ac:dyDescent="0.25">
      <c r="A118" s="24" t="s">
        <v>239</v>
      </c>
      <c r="B118" s="44"/>
      <c r="C118" s="45"/>
      <c r="D118" s="25"/>
      <c r="E118" s="261"/>
      <c r="F118" s="168"/>
    </row>
    <row r="119" spans="1:6" x14ac:dyDescent="0.2">
      <c r="A119" s="27"/>
      <c r="B119" s="44"/>
      <c r="C119" s="47"/>
      <c r="D119" s="25"/>
      <c r="E119" s="261"/>
      <c r="F119" s="168"/>
    </row>
    <row r="120" spans="1:6" x14ac:dyDescent="0.2">
      <c r="A120" s="27"/>
      <c r="B120" s="44"/>
      <c r="C120" s="45"/>
      <c r="D120" s="25"/>
      <c r="E120" s="261"/>
      <c r="F120" s="168"/>
    </row>
    <row r="121" spans="1:6" ht="15" thickBot="1" x14ac:dyDescent="0.25">
      <c r="A121" s="20"/>
      <c r="B121" s="39"/>
      <c r="C121" s="38"/>
      <c r="D121" s="21"/>
      <c r="E121" s="259"/>
      <c r="F121" s="166"/>
    </row>
    <row r="122" spans="1:6" ht="15" x14ac:dyDescent="0.25">
      <c r="A122" s="28" t="s">
        <v>240</v>
      </c>
      <c r="B122" s="49"/>
      <c r="C122" s="50"/>
      <c r="D122" s="29"/>
      <c r="E122" s="262"/>
      <c r="F122" s="164"/>
    </row>
    <row r="123" spans="1:6" x14ac:dyDescent="0.2">
      <c r="A123" s="27" t="s">
        <v>78</v>
      </c>
      <c r="B123" s="44">
        <v>135</v>
      </c>
      <c r="C123" s="45">
        <v>1</v>
      </c>
      <c r="D123" s="25" t="s">
        <v>69</v>
      </c>
      <c r="E123" s="261">
        <v>0</v>
      </c>
      <c r="F123" s="168">
        <v>135</v>
      </c>
    </row>
    <row r="124" spans="1:6" x14ac:dyDescent="0.2">
      <c r="A124" s="27"/>
      <c r="B124" s="44"/>
      <c r="C124" s="45"/>
      <c r="D124" s="25"/>
      <c r="E124" s="261"/>
      <c r="F124" s="168"/>
    </row>
    <row r="125" spans="1:6" x14ac:dyDescent="0.2">
      <c r="A125" s="27"/>
      <c r="B125" s="44"/>
      <c r="C125" s="45"/>
      <c r="D125" s="25"/>
      <c r="E125" s="261"/>
      <c r="F125" s="168"/>
    </row>
    <row r="126" spans="1:6" ht="15" thickBot="1" x14ac:dyDescent="0.25">
      <c r="A126" s="20"/>
      <c r="B126" s="39"/>
      <c r="C126" s="38"/>
      <c r="D126" s="21"/>
      <c r="E126" s="259"/>
      <c r="F126" s="166"/>
    </row>
    <row r="127" spans="1:6" ht="15" x14ac:dyDescent="0.25">
      <c r="A127" s="28" t="s">
        <v>116</v>
      </c>
      <c r="B127" s="49"/>
      <c r="C127" s="50"/>
      <c r="D127" s="29"/>
      <c r="E127" s="262"/>
      <c r="F127" s="164"/>
    </row>
    <row r="128" spans="1:6" ht="28.5" x14ac:dyDescent="0.2">
      <c r="A128" s="27" t="s">
        <v>79</v>
      </c>
      <c r="B128" s="44">
        <v>20000</v>
      </c>
      <c r="C128" s="45">
        <v>1.2</v>
      </c>
      <c r="D128" s="25" t="s">
        <v>69</v>
      </c>
      <c r="E128" s="261">
        <v>0</v>
      </c>
      <c r="F128" s="168">
        <v>24000</v>
      </c>
    </row>
    <row r="129" spans="1:6" ht="15" thickBot="1" x14ac:dyDescent="0.25">
      <c r="A129" s="20"/>
      <c r="B129" s="39"/>
      <c r="C129" s="38"/>
      <c r="D129" s="21"/>
      <c r="E129" s="259"/>
      <c r="F129" s="166"/>
    </row>
    <row r="130" spans="1:6" ht="15" x14ac:dyDescent="0.25">
      <c r="A130" s="24" t="s">
        <v>70</v>
      </c>
      <c r="B130" s="44"/>
      <c r="C130" s="45"/>
      <c r="D130" s="25"/>
      <c r="E130" s="261"/>
      <c r="F130" s="168"/>
    </row>
    <row r="131" spans="1:6" x14ac:dyDescent="0.2">
      <c r="A131" s="27" t="s">
        <v>73</v>
      </c>
      <c r="B131" s="44">
        <v>6222.8949166666662</v>
      </c>
      <c r="C131" s="45">
        <v>6.8</v>
      </c>
      <c r="D131" s="25" t="s">
        <v>77</v>
      </c>
      <c r="E131" s="261">
        <v>0</v>
      </c>
      <c r="F131" s="168">
        <v>42315.685433333332</v>
      </c>
    </row>
    <row r="132" spans="1:6" ht="15" thickBot="1" x14ac:dyDescent="0.25">
      <c r="A132" s="27"/>
      <c r="B132" s="44"/>
      <c r="C132" s="45"/>
      <c r="D132" s="25"/>
      <c r="E132" s="261"/>
      <c r="F132" s="168"/>
    </row>
    <row r="133" spans="1:6" ht="15.75" thickBot="1" x14ac:dyDescent="0.3">
      <c r="A133" s="30"/>
      <c r="B133" s="52"/>
      <c r="C133" s="53"/>
      <c r="D133" s="31"/>
      <c r="E133" s="263" t="s">
        <v>241</v>
      </c>
      <c r="F133" s="169">
        <f>SUM(F119:F131)</f>
        <v>66450.685433333332</v>
      </c>
    </row>
    <row r="135" spans="1:6" ht="15" thickBot="1" x14ac:dyDescent="0.25"/>
    <row r="136" spans="1:6" x14ac:dyDescent="0.2">
      <c r="A136" s="16" t="s">
        <v>244</v>
      </c>
      <c r="B136" s="33"/>
      <c r="C136" s="34"/>
      <c r="D136" s="17"/>
      <c r="E136" s="257"/>
      <c r="F136" s="164"/>
    </row>
    <row r="137" spans="1:6" ht="25.5" x14ac:dyDescent="0.2">
      <c r="A137" s="90" t="s">
        <v>249</v>
      </c>
      <c r="B137" s="91"/>
      <c r="C137" s="92"/>
      <c r="D137" s="91" t="s">
        <v>233</v>
      </c>
      <c r="E137" s="258" t="s">
        <v>71</v>
      </c>
      <c r="F137" s="165"/>
    </row>
    <row r="138" spans="1:6" ht="15" thickBot="1" x14ac:dyDescent="0.25">
      <c r="A138" s="20"/>
      <c r="B138" s="37"/>
      <c r="C138" s="38"/>
      <c r="D138" s="21"/>
      <c r="E138" s="259"/>
      <c r="F138" s="166"/>
    </row>
    <row r="139" spans="1:6" ht="15" thickBot="1" x14ac:dyDescent="0.25">
      <c r="A139" s="22" t="s">
        <v>234</v>
      </c>
      <c r="B139" s="41" t="s">
        <v>235</v>
      </c>
      <c r="C139" s="42" t="s">
        <v>236</v>
      </c>
      <c r="D139" s="23" t="s">
        <v>237</v>
      </c>
      <c r="E139" s="260" t="s">
        <v>67</v>
      </c>
      <c r="F139" s="167" t="s">
        <v>238</v>
      </c>
    </row>
    <row r="140" spans="1:6" ht="15.75" thickTop="1" x14ac:dyDescent="0.25">
      <c r="A140" s="24" t="s">
        <v>239</v>
      </c>
      <c r="B140" s="44"/>
      <c r="C140" s="45"/>
      <c r="D140" s="25"/>
      <c r="E140" s="261"/>
      <c r="F140" s="168"/>
    </row>
    <row r="141" spans="1:6" x14ac:dyDescent="0.2">
      <c r="A141" s="27"/>
      <c r="B141" s="44"/>
      <c r="C141" s="47"/>
      <c r="D141" s="25"/>
      <c r="E141" s="261"/>
      <c r="F141" s="168"/>
    </row>
    <row r="142" spans="1:6" x14ac:dyDescent="0.2">
      <c r="A142" s="27"/>
      <c r="B142" s="44"/>
      <c r="C142" s="45"/>
      <c r="D142" s="25"/>
      <c r="E142" s="261"/>
      <c r="F142" s="168"/>
    </row>
    <row r="143" spans="1:6" ht="15" thickBot="1" x14ac:dyDescent="0.25">
      <c r="A143" s="20"/>
      <c r="B143" s="39"/>
      <c r="C143" s="38"/>
      <c r="D143" s="21"/>
      <c r="E143" s="259"/>
      <c r="F143" s="166"/>
    </row>
    <row r="144" spans="1:6" ht="15" x14ac:dyDescent="0.25">
      <c r="A144" s="28" t="s">
        <v>240</v>
      </c>
      <c r="B144" s="49"/>
      <c r="C144" s="50"/>
      <c r="D144" s="29"/>
      <c r="E144" s="262"/>
      <c r="F144" s="164"/>
    </row>
    <row r="145" spans="1:6" x14ac:dyDescent="0.2">
      <c r="A145" s="27" t="s">
        <v>78</v>
      </c>
      <c r="B145" s="44">
        <v>135</v>
      </c>
      <c r="C145" s="45">
        <v>1</v>
      </c>
      <c r="D145" s="25" t="s">
        <v>69</v>
      </c>
      <c r="E145" s="261">
        <v>0</v>
      </c>
      <c r="F145" s="168">
        <v>135</v>
      </c>
    </row>
    <row r="146" spans="1:6" x14ac:dyDescent="0.2">
      <c r="A146" s="27"/>
      <c r="B146" s="44"/>
      <c r="C146" s="45"/>
      <c r="D146" s="25"/>
      <c r="E146" s="261"/>
      <c r="F146" s="168"/>
    </row>
    <row r="147" spans="1:6" x14ac:dyDescent="0.2">
      <c r="A147" s="27"/>
      <c r="B147" s="44"/>
      <c r="C147" s="45"/>
      <c r="D147" s="25"/>
      <c r="E147" s="261"/>
      <c r="F147" s="168"/>
    </row>
    <row r="148" spans="1:6" ht="15" thickBot="1" x14ac:dyDescent="0.25">
      <c r="A148" s="20"/>
      <c r="B148" s="39"/>
      <c r="C148" s="38"/>
      <c r="D148" s="21"/>
      <c r="E148" s="259"/>
      <c r="F148" s="166"/>
    </row>
    <row r="149" spans="1:6" ht="15" x14ac:dyDescent="0.25">
      <c r="A149" s="28" t="s">
        <v>116</v>
      </c>
      <c r="B149" s="49"/>
      <c r="C149" s="50"/>
      <c r="D149" s="29"/>
      <c r="E149" s="262"/>
      <c r="F149" s="164"/>
    </row>
    <row r="150" spans="1:6" ht="28.5" x14ac:dyDescent="0.2">
      <c r="A150" s="27" t="s">
        <v>79</v>
      </c>
      <c r="B150" s="44">
        <v>20000</v>
      </c>
      <c r="C150" s="45">
        <v>1.2</v>
      </c>
      <c r="D150" s="25" t="s">
        <v>69</v>
      </c>
      <c r="E150" s="261">
        <v>0</v>
      </c>
      <c r="F150" s="168">
        <v>24000</v>
      </c>
    </row>
    <row r="151" spans="1:6" ht="15" thickBot="1" x14ac:dyDescent="0.25">
      <c r="A151" s="20"/>
      <c r="B151" s="39"/>
      <c r="C151" s="38"/>
      <c r="D151" s="21"/>
      <c r="E151" s="259"/>
      <c r="F151" s="166"/>
    </row>
    <row r="152" spans="1:6" ht="15" x14ac:dyDescent="0.25">
      <c r="A152" s="24" t="s">
        <v>70</v>
      </c>
      <c r="B152" s="44"/>
      <c r="C152" s="45"/>
      <c r="D152" s="25"/>
      <c r="E152" s="261"/>
      <c r="F152" s="168"/>
    </row>
    <row r="153" spans="1:6" x14ac:dyDescent="0.2">
      <c r="A153" s="27" t="s">
        <v>73</v>
      </c>
      <c r="B153" s="44">
        <v>6222.8949166666662</v>
      </c>
      <c r="C153" s="45">
        <v>6.8</v>
      </c>
      <c r="D153" s="25" t="s">
        <v>77</v>
      </c>
      <c r="E153" s="261">
        <v>0</v>
      </c>
      <c r="F153" s="168">
        <v>42315.685433333332</v>
      </c>
    </row>
    <row r="154" spans="1:6" ht="15" thickBot="1" x14ac:dyDescent="0.25">
      <c r="A154" s="27"/>
      <c r="B154" s="44"/>
      <c r="C154" s="45"/>
      <c r="D154" s="25"/>
      <c r="E154" s="261"/>
      <c r="F154" s="168"/>
    </row>
    <row r="155" spans="1:6" ht="15.75" thickBot="1" x14ac:dyDescent="0.3">
      <c r="A155" s="30"/>
      <c r="B155" s="52"/>
      <c r="C155" s="53"/>
      <c r="D155" s="31"/>
      <c r="E155" s="263" t="s">
        <v>241</v>
      </c>
      <c r="F155" s="169">
        <f>SUM(F141:F153)</f>
        <v>66450.685433333332</v>
      </c>
    </row>
    <row r="157" spans="1:6" ht="15" thickBot="1" x14ac:dyDescent="0.25"/>
    <row r="158" spans="1:6" x14ac:dyDescent="0.2">
      <c r="A158" s="16" t="s">
        <v>244</v>
      </c>
      <c r="B158" s="33"/>
      <c r="C158" s="34"/>
      <c r="D158" s="17"/>
      <c r="E158" s="257"/>
      <c r="F158" s="164"/>
    </row>
    <row r="159" spans="1:6" ht="25.5" x14ac:dyDescent="0.2">
      <c r="A159" s="90" t="s">
        <v>780</v>
      </c>
      <c r="B159" s="91"/>
      <c r="C159" s="92"/>
      <c r="D159" s="91" t="s">
        <v>233</v>
      </c>
      <c r="E159" s="258" t="s">
        <v>71</v>
      </c>
      <c r="F159" s="165"/>
    </row>
    <row r="160" spans="1:6" ht="15" thickBot="1" x14ac:dyDescent="0.25">
      <c r="A160" s="20"/>
      <c r="B160" s="37"/>
      <c r="C160" s="38"/>
      <c r="D160" s="21"/>
      <c r="E160" s="259"/>
      <c r="F160" s="166"/>
    </row>
    <row r="161" spans="1:6" ht="15" thickBot="1" x14ac:dyDescent="0.25">
      <c r="A161" s="22" t="s">
        <v>234</v>
      </c>
      <c r="B161" s="41" t="s">
        <v>235</v>
      </c>
      <c r="C161" s="42" t="s">
        <v>236</v>
      </c>
      <c r="D161" s="23" t="s">
        <v>237</v>
      </c>
      <c r="E161" s="260" t="s">
        <v>67</v>
      </c>
      <c r="F161" s="167" t="s">
        <v>238</v>
      </c>
    </row>
    <row r="162" spans="1:6" ht="15.75" thickTop="1" x14ac:dyDescent="0.25">
      <c r="A162" s="24" t="s">
        <v>239</v>
      </c>
      <c r="B162" s="44"/>
      <c r="C162" s="45"/>
      <c r="D162" s="25"/>
      <c r="E162" s="261"/>
      <c r="F162" s="168"/>
    </row>
    <row r="163" spans="1:6" x14ac:dyDescent="0.2">
      <c r="A163" s="27"/>
      <c r="B163" s="44"/>
      <c r="C163" s="47"/>
      <c r="D163" s="25"/>
      <c r="E163" s="261"/>
      <c r="F163" s="168"/>
    </row>
    <row r="164" spans="1:6" x14ac:dyDescent="0.2">
      <c r="A164" s="27"/>
      <c r="B164" s="44"/>
      <c r="C164" s="45"/>
      <c r="D164" s="25"/>
      <c r="E164" s="261"/>
      <c r="F164" s="168"/>
    </row>
    <row r="165" spans="1:6" ht="15" thickBot="1" x14ac:dyDescent="0.25">
      <c r="A165" s="20"/>
      <c r="B165" s="39"/>
      <c r="C165" s="38"/>
      <c r="D165" s="21"/>
      <c r="E165" s="259"/>
      <c r="F165" s="166"/>
    </row>
    <row r="166" spans="1:6" ht="15" x14ac:dyDescent="0.25">
      <c r="A166" s="28" t="s">
        <v>240</v>
      </c>
      <c r="B166" s="49"/>
      <c r="C166" s="50"/>
      <c r="D166" s="29"/>
      <c r="E166" s="262"/>
      <c r="F166" s="164"/>
    </row>
    <row r="167" spans="1:6" x14ac:dyDescent="0.2">
      <c r="A167" s="27" t="s">
        <v>78</v>
      </c>
      <c r="B167" s="44">
        <v>135</v>
      </c>
      <c r="C167" s="45">
        <v>1</v>
      </c>
      <c r="D167" s="25" t="s">
        <v>69</v>
      </c>
      <c r="E167" s="261">
        <v>0</v>
      </c>
      <c r="F167" s="168">
        <v>135</v>
      </c>
    </row>
    <row r="168" spans="1:6" x14ac:dyDescent="0.2">
      <c r="A168" s="27"/>
      <c r="B168" s="44"/>
      <c r="C168" s="45"/>
      <c r="D168" s="25"/>
      <c r="E168" s="261"/>
      <c r="F168" s="168"/>
    </row>
    <row r="169" spans="1:6" x14ac:dyDescent="0.2">
      <c r="A169" s="27"/>
      <c r="B169" s="44"/>
      <c r="C169" s="45"/>
      <c r="D169" s="25"/>
      <c r="E169" s="261"/>
      <c r="F169" s="168"/>
    </row>
    <row r="170" spans="1:6" ht="15" thickBot="1" x14ac:dyDescent="0.25">
      <c r="A170" s="20"/>
      <c r="B170" s="39"/>
      <c r="C170" s="38"/>
      <c r="D170" s="21"/>
      <c r="E170" s="259"/>
      <c r="F170" s="166"/>
    </row>
    <row r="171" spans="1:6" ht="15" x14ac:dyDescent="0.25">
      <c r="A171" s="28" t="s">
        <v>116</v>
      </c>
      <c r="B171" s="49"/>
      <c r="C171" s="50"/>
      <c r="D171" s="29"/>
      <c r="E171" s="262"/>
      <c r="F171" s="164"/>
    </row>
    <row r="172" spans="1:6" ht="28.5" x14ac:dyDescent="0.2">
      <c r="A172" s="27" t="s">
        <v>79</v>
      </c>
      <c r="B172" s="44">
        <v>20000</v>
      </c>
      <c r="C172" s="45">
        <v>1.2</v>
      </c>
      <c r="D172" s="25" t="s">
        <v>69</v>
      </c>
      <c r="E172" s="261">
        <v>0</v>
      </c>
      <c r="F172" s="168">
        <v>24000</v>
      </c>
    </row>
    <row r="173" spans="1:6" ht="15" thickBot="1" x14ac:dyDescent="0.25">
      <c r="A173" s="20"/>
      <c r="B173" s="39"/>
      <c r="C173" s="38"/>
      <c r="D173" s="21"/>
      <c r="E173" s="259"/>
      <c r="F173" s="166"/>
    </row>
    <row r="174" spans="1:6" ht="15" x14ac:dyDescent="0.25">
      <c r="A174" s="24" t="s">
        <v>70</v>
      </c>
      <c r="B174" s="44"/>
      <c r="C174" s="45"/>
      <c r="D174" s="25"/>
      <c r="E174" s="261"/>
      <c r="F174" s="168"/>
    </row>
    <row r="175" spans="1:6" x14ac:dyDescent="0.2">
      <c r="A175" s="27" t="s">
        <v>73</v>
      </c>
      <c r="B175" s="44">
        <v>5222.8949166666698</v>
      </c>
      <c r="C175" s="45">
        <v>3</v>
      </c>
      <c r="D175" s="25" t="s">
        <v>77</v>
      </c>
      <c r="E175" s="261">
        <v>0</v>
      </c>
      <c r="F175" s="168">
        <v>12668.68475</v>
      </c>
    </row>
    <row r="176" spans="1:6" ht="15" thickBot="1" x14ac:dyDescent="0.25">
      <c r="A176" s="27"/>
      <c r="B176" s="44"/>
      <c r="C176" s="45"/>
      <c r="D176" s="25"/>
      <c r="E176" s="261"/>
      <c r="F176" s="168"/>
    </row>
    <row r="177" spans="1:7" ht="15.75" thickBot="1" x14ac:dyDescent="0.3">
      <c r="A177" s="30"/>
      <c r="B177" s="52"/>
      <c r="C177" s="53"/>
      <c r="D177" s="31"/>
      <c r="E177" s="263" t="s">
        <v>241</v>
      </c>
      <c r="F177" s="169">
        <f>SUM(F163:F175)</f>
        <v>36803.68475</v>
      </c>
    </row>
    <row r="179" spans="1:7" ht="15" thickBot="1" x14ac:dyDescent="0.25"/>
    <row r="180" spans="1:7" x14ac:dyDescent="0.2">
      <c r="A180" s="16" t="s">
        <v>250</v>
      </c>
      <c r="B180" s="33"/>
      <c r="C180" s="34"/>
      <c r="D180" s="17"/>
      <c r="E180" s="257"/>
      <c r="F180" s="164"/>
    </row>
    <row r="181" spans="1:7" ht="25.5" x14ac:dyDescent="0.2">
      <c r="A181" s="90" t="s">
        <v>251</v>
      </c>
      <c r="B181" s="91"/>
      <c r="C181" s="92"/>
      <c r="D181" s="91" t="s">
        <v>233</v>
      </c>
      <c r="E181" s="258" t="s">
        <v>75</v>
      </c>
      <c r="F181" s="165"/>
    </row>
    <row r="182" spans="1:7" ht="15" thickBot="1" x14ac:dyDescent="0.25">
      <c r="A182" s="20"/>
      <c r="B182" s="37"/>
      <c r="C182" s="38"/>
      <c r="D182" s="21"/>
      <c r="E182" s="259"/>
      <c r="F182" s="166"/>
    </row>
    <row r="183" spans="1:7" ht="15" thickBot="1" x14ac:dyDescent="0.25">
      <c r="A183" s="22" t="s">
        <v>234</v>
      </c>
      <c r="B183" s="41" t="s">
        <v>235</v>
      </c>
      <c r="C183" s="42" t="s">
        <v>236</v>
      </c>
      <c r="D183" s="23" t="s">
        <v>237</v>
      </c>
      <c r="E183" s="260" t="s">
        <v>67</v>
      </c>
      <c r="F183" s="167" t="s">
        <v>238</v>
      </c>
    </row>
    <row r="184" spans="1:7" ht="15.75" thickTop="1" x14ac:dyDescent="0.25">
      <c r="A184" s="24" t="s">
        <v>239</v>
      </c>
      <c r="B184" s="44"/>
      <c r="C184" s="45"/>
      <c r="D184" s="25"/>
      <c r="E184" s="261"/>
      <c r="F184" s="168"/>
    </row>
    <row r="185" spans="1:7" x14ac:dyDescent="0.2">
      <c r="A185" s="27" t="s">
        <v>165</v>
      </c>
      <c r="B185" s="44">
        <v>244206</v>
      </c>
      <c r="C185" s="47">
        <v>0.05</v>
      </c>
      <c r="D185" s="25" t="s">
        <v>86</v>
      </c>
      <c r="E185" s="261">
        <v>0.05</v>
      </c>
      <c r="F185" s="168">
        <f>+B185*C185*(1+E185)</f>
        <v>12820.815000000002</v>
      </c>
    </row>
    <row r="186" spans="1:7" x14ac:dyDescent="0.2">
      <c r="A186" s="27"/>
      <c r="B186" s="44"/>
      <c r="C186" s="45"/>
      <c r="D186" s="25"/>
      <c r="E186" s="261"/>
      <c r="F186" s="168"/>
    </row>
    <row r="187" spans="1:7" ht="15" thickBot="1" x14ac:dyDescent="0.25">
      <c r="A187" s="20"/>
      <c r="B187" s="39"/>
      <c r="C187" s="38"/>
      <c r="D187" s="21"/>
      <c r="E187" s="259"/>
      <c r="F187" s="166"/>
      <c r="G187" s="55">
        <f>SUM(F184:F186)</f>
        <v>12820.815000000002</v>
      </c>
    </row>
    <row r="188" spans="1:7" ht="15" x14ac:dyDescent="0.25">
      <c r="A188" s="28" t="s">
        <v>240</v>
      </c>
      <c r="B188" s="49"/>
      <c r="C188" s="50"/>
      <c r="D188" s="29"/>
      <c r="E188" s="262"/>
      <c r="F188" s="164"/>
    </row>
    <row r="189" spans="1:7" x14ac:dyDescent="0.2">
      <c r="A189" s="27" t="s">
        <v>93</v>
      </c>
      <c r="B189" s="83">
        <v>641.04075000000012</v>
      </c>
      <c r="C189" s="45">
        <v>1</v>
      </c>
      <c r="D189" s="25" t="s">
        <v>85</v>
      </c>
      <c r="E189" s="261">
        <v>0</v>
      </c>
      <c r="F189" s="168">
        <f>+B189*C189*(1+E189)</f>
        <v>641.04075000000012</v>
      </c>
    </row>
    <row r="190" spans="1:7" x14ac:dyDescent="0.2">
      <c r="A190" s="27"/>
      <c r="B190" s="44"/>
      <c r="C190" s="45"/>
      <c r="D190" s="25"/>
      <c r="E190" s="261"/>
      <c r="F190" s="168"/>
    </row>
    <row r="191" spans="1:7" x14ac:dyDescent="0.2">
      <c r="A191" s="27"/>
      <c r="B191" s="44"/>
      <c r="C191" s="45"/>
      <c r="D191" s="25"/>
      <c r="E191" s="261"/>
      <c r="F191" s="168"/>
    </row>
    <row r="192" spans="1:7" ht="15" thickBot="1" x14ac:dyDescent="0.25">
      <c r="A192" s="20"/>
      <c r="B192" s="39"/>
      <c r="C192" s="38"/>
      <c r="D192" s="21"/>
      <c r="E192" s="259"/>
      <c r="F192" s="166"/>
    </row>
    <row r="193" spans="1:6" ht="15" x14ac:dyDescent="0.25">
      <c r="A193" s="28" t="s">
        <v>116</v>
      </c>
      <c r="B193" s="49"/>
      <c r="C193" s="50"/>
      <c r="D193" s="29"/>
      <c r="E193" s="262"/>
      <c r="F193" s="164"/>
    </row>
    <row r="194" spans="1:6" x14ac:dyDescent="0.2">
      <c r="A194" s="27" t="s">
        <v>92</v>
      </c>
      <c r="B194" s="44">
        <v>384.62445000000008</v>
      </c>
      <c r="C194" s="45">
        <v>1</v>
      </c>
      <c r="D194" s="25" t="s">
        <v>85</v>
      </c>
      <c r="E194" s="261">
        <v>0</v>
      </c>
      <c r="F194" s="168">
        <f>+B194*C194*(1+E194)</f>
        <v>384.62445000000008</v>
      </c>
    </row>
    <row r="195" spans="1:6" ht="15" thickBot="1" x14ac:dyDescent="0.25">
      <c r="A195" s="20"/>
      <c r="B195" s="39"/>
      <c r="C195" s="38"/>
      <c r="D195" s="21"/>
      <c r="E195" s="259"/>
      <c r="F195" s="166"/>
    </row>
    <row r="196" spans="1:6" ht="15" x14ac:dyDescent="0.25">
      <c r="A196" s="24" t="s">
        <v>70</v>
      </c>
      <c r="B196" s="44"/>
      <c r="C196" s="45"/>
      <c r="D196" s="25"/>
      <c r="E196" s="261"/>
      <c r="F196" s="168"/>
    </row>
    <row r="197" spans="1:6" x14ac:dyDescent="0.2">
      <c r="A197" s="27" t="s">
        <v>70</v>
      </c>
      <c r="B197" s="44">
        <v>9198.3962499999998</v>
      </c>
      <c r="C197" s="45">
        <v>1</v>
      </c>
      <c r="D197" s="25" t="s">
        <v>83</v>
      </c>
      <c r="E197" s="261">
        <v>0</v>
      </c>
      <c r="F197" s="168">
        <f>+B197*C197*(1+E197)</f>
        <v>9198.3962499999998</v>
      </c>
    </row>
    <row r="198" spans="1:6" ht="15" thickBot="1" x14ac:dyDescent="0.25">
      <c r="A198" s="27"/>
      <c r="B198" s="44"/>
      <c r="C198" s="45"/>
      <c r="D198" s="25"/>
      <c r="E198" s="261"/>
      <c r="F198" s="168"/>
    </row>
    <row r="199" spans="1:6" ht="15.75" thickBot="1" x14ac:dyDescent="0.3">
      <c r="A199" s="30"/>
      <c r="B199" s="52"/>
      <c r="C199" s="53"/>
      <c r="D199" s="31"/>
      <c r="E199" s="263" t="s">
        <v>241</v>
      </c>
      <c r="F199" s="169">
        <f>SUM(F185:F197)</f>
        <v>23044.876450000003</v>
      </c>
    </row>
    <row r="201" spans="1:6" ht="15" thickBot="1" x14ac:dyDescent="0.25"/>
    <row r="202" spans="1:6" x14ac:dyDescent="0.2">
      <c r="A202" s="16" t="s">
        <v>250</v>
      </c>
      <c r="B202" s="33"/>
      <c r="C202" s="34"/>
      <c r="D202" s="17"/>
      <c r="E202" s="257"/>
      <c r="F202" s="164"/>
    </row>
    <row r="203" spans="1:6" x14ac:dyDescent="0.2">
      <c r="A203" s="90" t="s">
        <v>252</v>
      </c>
      <c r="B203" s="91"/>
      <c r="C203" s="92"/>
      <c r="D203" s="91" t="s">
        <v>233</v>
      </c>
      <c r="E203" s="258" t="s">
        <v>71</v>
      </c>
      <c r="F203" s="165"/>
    </row>
    <row r="204" spans="1:6" ht="15" thickBot="1" x14ac:dyDescent="0.25">
      <c r="A204" s="20"/>
      <c r="B204" s="37"/>
      <c r="C204" s="38"/>
      <c r="D204" s="21"/>
      <c r="E204" s="259"/>
      <c r="F204" s="166"/>
    </row>
    <row r="205" spans="1:6" ht="15" thickBot="1" x14ac:dyDescent="0.25">
      <c r="A205" s="22" t="s">
        <v>234</v>
      </c>
      <c r="B205" s="41" t="s">
        <v>235</v>
      </c>
      <c r="C205" s="42" t="s">
        <v>236</v>
      </c>
      <c r="D205" s="23" t="s">
        <v>237</v>
      </c>
      <c r="E205" s="260" t="s">
        <v>67</v>
      </c>
      <c r="F205" s="167" t="s">
        <v>238</v>
      </c>
    </row>
    <row r="206" spans="1:6" ht="15.75" thickTop="1" x14ac:dyDescent="0.25">
      <c r="A206" s="24" t="s">
        <v>239</v>
      </c>
      <c r="B206" s="44"/>
      <c r="C206" s="45"/>
      <c r="D206" s="25"/>
      <c r="E206" s="261"/>
      <c r="F206" s="168"/>
    </row>
    <row r="207" spans="1:6" x14ac:dyDescent="0.2">
      <c r="A207" s="27" t="s">
        <v>97</v>
      </c>
      <c r="B207" s="44">
        <v>288448.95</v>
      </c>
      <c r="C207" s="47">
        <v>1</v>
      </c>
      <c r="D207" s="25" t="s">
        <v>69</v>
      </c>
      <c r="E207" s="261">
        <v>0.02</v>
      </c>
      <c r="F207" s="168">
        <f>+B207*C207*(1+E207)</f>
        <v>294217.929</v>
      </c>
    </row>
    <row r="208" spans="1:6" x14ac:dyDescent="0.2">
      <c r="A208" s="27"/>
      <c r="B208" s="44"/>
      <c r="C208" s="45"/>
      <c r="D208" s="25"/>
      <c r="E208" s="261"/>
      <c r="F208" s="168"/>
    </row>
    <row r="209" spans="1:7" ht="15" thickBot="1" x14ac:dyDescent="0.25">
      <c r="A209" s="20"/>
      <c r="B209" s="39"/>
      <c r="C209" s="38"/>
      <c r="D209" s="21"/>
      <c r="E209" s="259"/>
      <c r="F209" s="166"/>
      <c r="G209" s="55">
        <f>SUM(F206:F208)</f>
        <v>294217.929</v>
      </c>
    </row>
    <row r="210" spans="1:7" ht="15" x14ac:dyDescent="0.25">
      <c r="A210" s="28" t="s">
        <v>240</v>
      </c>
      <c r="B210" s="49"/>
      <c r="C210" s="50"/>
      <c r="D210" s="29"/>
      <c r="E210" s="262"/>
      <c r="F210" s="164"/>
    </row>
    <row r="211" spans="1:7" x14ac:dyDescent="0.2">
      <c r="A211" s="27" t="s">
        <v>91</v>
      </c>
      <c r="B211" s="44">
        <v>80000</v>
      </c>
      <c r="C211" s="45">
        <v>1</v>
      </c>
      <c r="D211" s="25" t="s">
        <v>69</v>
      </c>
      <c r="E211" s="261">
        <v>0</v>
      </c>
      <c r="F211" s="168">
        <f>+B211*C211*(1+E211)</f>
        <v>80000</v>
      </c>
    </row>
    <row r="212" spans="1:7" x14ac:dyDescent="0.2">
      <c r="A212" s="27" t="s">
        <v>93</v>
      </c>
      <c r="B212" s="83">
        <v>52923.585800000001</v>
      </c>
      <c r="C212" s="45">
        <v>1</v>
      </c>
      <c r="D212" s="25" t="s">
        <v>69</v>
      </c>
      <c r="E212" s="261">
        <v>0.03</v>
      </c>
      <c r="F212" s="168">
        <f>+B212*C212*(1+E212)</f>
        <v>54511.293374000001</v>
      </c>
    </row>
    <row r="213" spans="1:7" x14ac:dyDescent="0.2">
      <c r="A213" s="27"/>
      <c r="B213" s="44"/>
      <c r="C213" s="45"/>
      <c r="D213" s="25"/>
      <c r="E213" s="261"/>
      <c r="F213" s="168"/>
    </row>
    <row r="214" spans="1:7" ht="15" thickBot="1" x14ac:dyDescent="0.25">
      <c r="A214" s="20"/>
      <c r="B214" s="39"/>
      <c r="C214" s="38"/>
      <c r="D214" s="21"/>
      <c r="E214" s="259"/>
      <c r="F214" s="166"/>
    </row>
    <row r="215" spans="1:7" ht="15" x14ac:dyDescent="0.25">
      <c r="A215" s="28" t="s">
        <v>116</v>
      </c>
      <c r="B215" s="49"/>
      <c r="C215" s="50"/>
      <c r="D215" s="29"/>
      <c r="E215" s="262"/>
      <c r="F215" s="164"/>
    </row>
    <row r="216" spans="1:7" x14ac:dyDescent="0.2">
      <c r="A216" s="27" t="s">
        <v>92</v>
      </c>
      <c r="B216" s="83">
        <v>15730.89645</v>
      </c>
      <c r="C216" s="45">
        <v>1</v>
      </c>
      <c r="D216" s="25" t="s">
        <v>69</v>
      </c>
      <c r="E216" s="261">
        <v>0.03</v>
      </c>
      <c r="F216" s="168">
        <f>+B216*C216*(1+E216)</f>
        <v>16202.8233435</v>
      </c>
    </row>
    <row r="217" spans="1:7" ht="15" thickBot="1" x14ac:dyDescent="0.25">
      <c r="A217" s="20"/>
      <c r="B217" s="39"/>
      <c r="C217" s="38"/>
      <c r="D217" s="21"/>
      <c r="E217" s="259"/>
      <c r="F217" s="166"/>
    </row>
    <row r="218" spans="1:7" ht="15" x14ac:dyDescent="0.25">
      <c r="A218" s="24" t="s">
        <v>70</v>
      </c>
      <c r="B218" s="44"/>
      <c r="C218" s="45"/>
      <c r="D218" s="25"/>
      <c r="E218" s="261"/>
      <c r="F218" s="168"/>
    </row>
    <row r="219" spans="1:7" x14ac:dyDescent="0.2">
      <c r="A219" s="27" t="s">
        <v>89</v>
      </c>
      <c r="B219" s="44">
        <v>9198.3962499999998</v>
      </c>
      <c r="C219" s="45">
        <v>16</v>
      </c>
      <c r="D219" s="25" t="s">
        <v>77</v>
      </c>
      <c r="E219" s="261">
        <v>0</v>
      </c>
      <c r="F219" s="168">
        <v>147174.34</v>
      </c>
    </row>
    <row r="220" spans="1:7" ht="15" thickBot="1" x14ac:dyDescent="0.25">
      <c r="A220" s="27"/>
      <c r="B220" s="44"/>
      <c r="C220" s="45"/>
      <c r="D220" s="25"/>
      <c r="E220" s="261"/>
      <c r="F220" s="168"/>
    </row>
    <row r="221" spans="1:7" ht="15.75" thickBot="1" x14ac:dyDescent="0.3">
      <c r="A221" s="30"/>
      <c r="B221" s="52"/>
      <c r="C221" s="53"/>
      <c r="D221" s="31"/>
      <c r="E221" s="263" t="s">
        <v>241</v>
      </c>
      <c r="F221" s="169">
        <f>SUM(F207:F219)</f>
        <v>592106.3857175</v>
      </c>
    </row>
    <row r="223" spans="1:7" ht="15" thickBot="1" x14ac:dyDescent="0.25"/>
    <row r="224" spans="1:7" x14ac:dyDescent="0.2">
      <c r="A224" s="16" t="s">
        <v>250</v>
      </c>
      <c r="B224" s="33"/>
      <c r="C224" s="34"/>
      <c r="D224" s="17"/>
      <c r="E224" s="257"/>
      <c r="F224" s="164"/>
    </row>
    <row r="225" spans="1:7" ht="25.5" x14ac:dyDescent="0.2">
      <c r="A225" s="90" t="s">
        <v>563</v>
      </c>
      <c r="B225" s="91"/>
      <c r="C225" s="92"/>
      <c r="D225" s="91" t="s">
        <v>233</v>
      </c>
      <c r="E225" s="258" t="s">
        <v>71</v>
      </c>
      <c r="F225" s="165"/>
    </row>
    <row r="226" spans="1:7" ht="15" thickBot="1" x14ac:dyDescent="0.25">
      <c r="A226" s="20"/>
      <c r="B226" s="37"/>
      <c r="C226" s="38"/>
      <c r="D226" s="21"/>
      <c r="E226" s="259"/>
      <c r="F226" s="166"/>
    </row>
    <row r="227" spans="1:7" ht="15" thickBot="1" x14ac:dyDescent="0.25">
      <c r="A227" s="22" t="s">
        <v>234</v>
      </c>
      <c r="B227" s="41" t="s">
        <v>235</v>
      </c>
      <c r="C227" s="42" t="s">
        <v>236</v>
      </c>
      <c r="D227" s="23" t="s">
        <v>237</v>
      </c>
      <c r="E227" s="260" t="s">
        <v>67</v>
      </c>
      <c r="F227" s="167" t="s">
        <v>238</v>
      </c>
    </row>
    <row r="228" spans="1:7" ht="15.75" thickTop="1" x14ac:dyDescent="0.25">
      <c r="A228" s="24" t="s">
        <v>239</v>
      </c>
      <c r="B228" s="44"/>
      <c r="C228" s="45"/>
      <c r="D228" s="25"/>
      <c r="E228" s="261"/>
      <c r="F228" s="168"/>
    </row>
    <row r="229" spans="1:7" x14ac:dyDescent="0.2">
      <c r="A229" s="27" t="s">
        <v>98</v>
      </c>
      <c r="B229" s="44">
        <v>300693.25</v>
      </c>
      <c r="C229" s="47">
        <v>1</v>
      </c>
      <c r="D229" s="25" t="s">
        <v>69</v>
      </c>
      <c r="E229" s="261">
        <v>0.05</v>
      </c>
      <c r="F229" s="168">
        <f>+B229*C229*(1+E229)</f>
        <v>315727.91250000003</v>
      </c>
    </row>
    <row r="230" spans="1:7" x14ac:dyDescent="0.2">
      <c r="A230" s="27"/>
      <c r="B230" s="44"/>
      <c r="C230" s="45"/>
      <c r="D230" s="25"/>
      <c r="E230" s="261"/>
      <c r="F230" s="168"/>
    </row>
    <row r="231" spans="1:7" ht="15" thickBot="1" x14ac:dyDescent="0.25">
      <c r="A231" s="20"/>
      <c r="B231" s="39"/>
      <c r="C231" s="38"/>
      <c r="D231" s="21"/>
      <c r="E231" s="259"/>
      <c r="F231" s="166"/>
      <c r="G231" s="55">
        <f>SUM(F228:F230)</f>
        <v>315727.91250000003</v>
      </c>
    </row>
    <row r="232" spans="1:7" ht="15" x14ac:dyDescent="0.25">
      <c r="A232" s="28" t="s">
        <v>240</v>
      </c>
      <c r="B232" s="49"/>
      <c r="C232" s="50"/>
      <c r="D232" s="29"/>
      <c r="E232" s="262"/>
      <c r="F232" s="164"/>
    </row>
    <row r="233" spans="1:7" x14ac:dyDescent="0.2">
      <c r="A233" s="27" t="s">
        <v>100</v>
      </c>
      <c r="B233" s="44">
        <v>45000</v>
      </c>
      <c r="C233" s="45">
        <v>1</v>
      </c>
      <c r="D233" s="25" t="s">
        <v>69</v>
      </c>
      <c r="E233" s="261">
        <v>0</v>
      </c>
      <c r="F233" s="168">
        <v>45000</v>
      </c>
    </row>
    <row r="234" spans="1:7" x14ac:dyDescent="0.2">
      <c r="A234" s="27" t="s">
        <v>93</v>
      </c>
      <c r="B234" s="83">
        <v>52385.582499999997</v>
      </c>
      <c r="C234" s="45">
        <v>1</v>
      </c>
      <c r="D234" s="25" t="s">
        <v>69</v>
      </c>
      <c r="E234" s="261">
        <v>0.03</v>
      </c>
      <c r="F234" s="168">
        <f>+B234*C234*(1+E234)</f>
        <v>53957.149975</v>
      </c>
    </row>
    <row r="235" spans="1:7" x14ac:dyDescent="0.2">
      <c r="A235" s="27" t="s">
        <v>99</v>
      </c>
      <c r="B235" s="44">
        <v>35000</v>
      </c>
      <c r="C235" s="45">
        <v>1</v>
      </c>
      <c r="D235" s="25" t="s">
        <v>69</v>
      </c>
      <c r="E235" s="261">
        <v>0</v>
      </c>
      <c r="F235" s="168">
        <v>35000</v>
      </c>
    </row>
    <row r="236" spans="1:7" ht="15" thickBot="1" x14ac:dyDescent="0.25">
      <c r="A236" s="20"/>
      <c r="B236" s="39"/>
      <c r="C236" s="38"/>
      <c r="D236" s="21"/>
      <c r="E236" s="259"/>
      <c r="F236" s="166"/>
    </row>
    <row r="237" spans="1:7" ht="15" x14ac:dyDescent="0.25">
      <c r="A237" s="28" t="s">
        <v>116</v>
      </c>
      <c r="B237" s="49"/>
      <c r="C237" s="50"/>
      <c r="D237" s="29"/>
      <c r="E237" s="262"/>
      <c r="F237" s="164"/>
    </row>
    <row r="238" spans="1:7" x14ac:dyDescent="0.2">
      <c r="A238" s="27" t="s">
        <v>92</v>
      </c>
      <c r="B238" s="83">
        <v>16096.395624999999</v>
      </c>
      <c r="C238" s="45">
        <v>1</v>
      </c>
      <c r="D238" s="25" t="s">
        <v>69</v>
      </c>
      <c r="E238" s="261">
        <v>0.03</v>
      </c>
      <c r="F238" s="168">
        <f>+B238*C238*(1+E238)</f>
        <v>16579.287493749998</v>
      </c>
    </row>
    <row r="239" spans="1:7" ht="15" thickBot="1" x14ac:dyDescent="0.25">
      <c r="A239" s="20"/>
      <c r="B239" s="39"/>
      <c r="C239" s="38"/>
      <c r="D239" s="21"/>
      <c r="E239" s="259"/>
      <c r="F239" s="166"/>
    </row>
    <row r="240" spans="1:7" ht="15" x14ac:dyDescent="0.25">
      <c r="A240" s="24" t="s">
        <v>70</v>
      </c>
      <c r="B240" s="44"/>
      <c r="C240" s="45"/>
      <c r="D240" s="25"/>
      <c r="E240" s="261"/>
      <c r="F240" s="168"/>
    </row>
    <row r="241" spans="1:7" x14ac:dyDescent="0.2">
      <c r="A241" s="27" t="s">
        <v>89</v>
      </c>
      <c r="B241" s="44">
        <v>8198.3962499999998</v>
      </c>
      <c r="C241" s="45">
        <v>16</v>
      </c>
      <c r="D241" s="25" t="s">
        <v>77</v>
      </c>
      <c r="E241" s="261">
        <v>0</v>
      </c>
      <c r="F241" s="168">
        <v>147174.34</v>
      </c>
    </row>
    <row r="242" spans="1:7" ht="15" thickBot="1" x14ac:dyDescent="0.25">
      <c r="A242" s="27"/>
      <c r="B242" s="44"/>
      <c r="C242" s="45"/>
      <c r="D242" s="25"/>
      <c r="E242" s="261"/>
      <c r="F242" s="168"/>
    </row>
    <row r="243" spans="1:7" ht="15.75" thickBot="1" x14ac:dyDescent="0.3">
      <c r="A243" s="30"/>
      <c r="B243" s="52"/>
      <c r="C243" s="53"/>
      <c r="D243" s="31"/>
      <c r="E243" s="263" t="s">
        <v>241</v>
      </c>
      <c r="F243" s="169">
        <f>SUM(F229:F242)</f>
        <v>613438.68996875</v>
      </c>
    </row>
    <row r="246" spans="1:7" ht="15" thickBot="1" x14ac:dyDescent="0.25"/>
    <row r="247" spans="1:7" x14ac:dyDescent="0.2">
      <c r="A247" s="16" t="s">
        <v>250</v>
      </c>
      <c r="B247" s="33"/>
      <c r="C247" s="34"/>
      <c r="D247" s="17"/>
      <c r="E247" s="257"/>
      <c r="F247" s="164"/>
    </row>
    <row r="248" spans="1:7" ht="25.5" x14ac:dyDescent="0.2">
      <c r="A248" s="90" t="s">
        <v>253</v>
      </c>
      <c r="B248" s="91"/>
      <c r="C248" s="92"/>
      <c r="D248" s="91" t="s">
        <v>233</v>
      </c>
      <c r="E248" s="264" t="s">
        <v>71</v>
      </c>
      <c r="F248" s="165"/>
    </row>
    <row r="249" spans="1:7" ht="15" thickBot="1" x14ac:dyDescent="0.25">
      <c r="A249" s="20"/>
      <c r="B249" s="37"/>
      <c r="C249" s="38"/>
      <c r="D249" s="21"/>
      <c r="E249" s="259"/>
      <c r="F249" s="166"/>
    </row>
    <row r="250" spans="1:7" ht="15" thickBot="1" x14ac:dyDescent="0.25">
      <c r="A250" s="22" t="s">
        <v>234</v>
      </c>
      <c r="B250" s="41" t="s">
        <v>235</v>
      </c>
      <c r="C250" s="42" t="s">
        <v>236</v>
      </c>
      <c r="D250" s="23" t="s">
        <v>237</v>
      </c>
      <c r="E250" s="260" t="s">
        <v>67</v>
      </c>
      <c r="F250" s="167" t="s">
        <v>238</v>
      </c>
    </row>
    <row r="251" spans="1:7" ht="15.75" thickTop="1" x14ac:dyDescent="0.25">
      <c r="A251" s="24" t="s">
        <v>239</v>
      </c>
      <c r="B251" s="44"/>
      <c r="C251" s="45"/>
      <c r="D251" s="25"/>
      <c r="E251" s="261"/>
      <c r="F251" s="168"/>
    </row>
    <row r="252" spans="1:7" x14ac:dyDescent="0.2">
      <c r="A252" s="27" t="s">
        <v>97</v>
      </c>
      <c r="B252" s="44">
        <v>308448.95</v>
      </c>
      <c r="C252" s="47">
        <v>1</v>
      </c>
      <c r="D252" s="25" t="s">
        <v>69</v>
      </c>
      <c r="E252" s="261">
        <v>0.05</v>
      </c>
      <c r="F252" s="168">
        <f>+B252*C252*(1+E252)</f>
        <v>323871.39750000002</v>
      </c>
    </row>
    <row r="253" spans="1:7" x14ac:dyDescent="0.2">
      <c r="A253" s="27"/>
      <c r="B253" s="44"/>
      <c r="C253" s="45"/>
      <c r="D253" s="25"/>
      <c r="E253" s="261"/>
      <c r="F253" s="168"/>
    </row>
    <row r="254" spans="1:7" ht="15" thickBot="1" x14ac:dyDescent="0.25">
      <c r="A254" s="20"/>
      <c r="B254" s="39"/>
      <c r="C254" s="38"/>
      <c r="D254" s="21"/>
      <c r="E254" s="259"/>
      <c r="F254" s="166"/>
      <c r="G254" s="55">
        <f>SUM(F251:F253)</f>
        <v>323871.39750000002</v>
      </c>
    </row>
    <row r="255" spans="1:7" ht="15" x14ac:dyDescent="0.25">
      <c r="A255" s="28" t="s">
        <v>240</v>
      </c>
      <c r="B255" s="49"/>
      <c r="C255" s="50"/>
      <c r="D255" s="29"/>
      <c r="E255" s="262"/>
      <c r="F255" s="164"/>
    </row>
    <row r="256" spans="1:7" x14ac:dyDescent="0.2">
      <c r="A256" s="27" t="s">
        <v>91</v>
      </c>
      <c r="B256" s="44">
        <v>80000</v>
      </c>
      <c r="C256" s="45">
        <v>1</v>
      </c>
      <c r="D256" s="25" t="s">
        <v>69</v>
      </c>
      <c r="E256" s="261">
        <v>0</v>
      </c>
      <c r="F256" s="168">
        <f>+B256*C256*(1+E256)</f>
        <v>80000</v>
      </c>
    </row>
    <row r="257" spans="1:6" x14ac:dyDescent="0.2">
      <c r="A257" s="27" t="s">
        <v>93</v>
      </c>
      <c r="B257" s="83">
        <v>64774.279500000004</v>
      </c>
      <c r="C257" s="45">
        <v>1</v>
      </c>
      <c r="D257" s="25" t="s">
        <v>69</v>
      </c>
      <c r="E257" s="261">
        <v>0.03</v>
      </c>
      <c r="F257" s="168">
        <f>+B257*C257*(1+E257)</f>
        <v>66717.507884999999</v>
      </c>
    </row>
    <row r="258" spans="1:6" x14ac:dyDescent="0.2">
      <c r="A258" s="27"/>
      <c r="B258" s="44"/>
      <c r="C258" s="45"/>
      <c r="D258" s="25"/>
      <c r="E258" s="261"/>
      <c r="F258" s="168"/>
    </row>
    <row r="259" spans="1:6" ht="15" thickBot="1" x14ac:dyDescent="0.25">
      <c r="A259" s="20"/>
      <c r="B259" s="39"/>
      <c r="C259" s="38"/>
      <c r="D259" s="21"/>
      <c r="E259" s="259"/>
      <c r="F259" s="166"/>
    </row>
    <row r="260" spans="1:6" ht="15" x14ac:dyDescent="0.25">
      <c r="A260" s="28" t="s">
        <v>116</v>
      </c>
      <c r="B260" s="49"/>
      <c r="C260" s="50"/>
      <c r="D260" s="29"/>
      <c r="E260" s="262"/>
      <c r="F260" s="164"/>
    </row>
    <row r="261" spans="1:6" x14ac:dyDescent="0.2">
      <c r="A261" s="27" t="s">
        <v>92</v>
      </c>
      <c r="B261" s="83">
        <v>16193.569875000001</v>
      </c>
      <c r="C261" s="45">
        <v>1</v>
      </c>
      <c r="D261" s="25" t="s">
        <v>69</v>
      </c>
      <c r="E261" s="261">
        <v>0.03</v>
      </c>
      <c r="F261" s="168">
        <f>+B261*C261*(1+E261)</f>
        <v>16679.37697125</v>
      </c>
    </row>
    <row r="262" spans="1:6" ht="15" thickBot="1" x14ac:dyDescent="0.25">
      <c r="A262" s="20"/>
      <c r="B262" s="39"/>
      <c r="C262" s="38"/>
      <c r="D262" s="21"/>
      <c r="E262" s="259"/>
      <c r="F262" s="166"/>
    </row>
    <row r="263" spans="1:6" ht="15" x14ac:dyDescent="0.25">
      <c r="A263" s="24" t="s">
        <v>70</v>
      </c>
      <c r="B263" s="44"/>
      <c r="C263" s="45"/>
      <c r="D263" s="25"/>
      <c r="E263" s="261"/>
      <c r="F263" s="168"/>
    </row>
    <row r="264" spans="1:6" x14ac:dyDescent="0.2">
      <c r="A264" s="27" t="s">
        <v>89</v>
      </c>
      <c r="B264" s="44">
        <v>9198.3962499999998</v>
      </c>
      <c r="C264" s="45">
        <v>20</v>
      </c>
      <c r="D264" s="25" t="s">
        <v>77</v>
      </c>
      <c r="E264" s="261">
        <v>0</v>
      </c>
      <c r="F264" s="168">
        <f>+B264*C264*(1+E264)</f>
        <v>183967.92499999999</v>
      </c>
    </row>
    <row r="265" spans="1:6" ht="15" thickBot="1" x14ac:dyDescent="0.25">
      <c r="A265" s="27"/>
      <c r="B265" s="44"/>
      <c r="C265" s="45"/>
      <c r="D265" s="25"/>
      <c r="E265" s="261"/>
      <c r="F265" s="168"/>
    </row>
    <row r="266" spans="1:6" ht="15.75" thickBot="1" x14ac:dyDescent="0.3">
      <c r="A266" s="30"/>
      <c r="B266" s="52"/>
      <c r="C266" s="53"/>
      <c r="D266" s="31"/>
      <c r="E266" s="263" t="s">
        <v>241</v>
      </c>
      <c r="F266" s="169">
        <f>SUM(F252:F264)</f>
        <v>671236.20735625003</v>
      </c>
    </row>
    <row r="268" spans="1:6" ht="15" thickBot="1" x14ac:dyDescent="0.25"/>
    <row r="269" spans="1:6" x14ac:dyDescent="0.2">
      <c r="A269" s="16" t="s">
        <v>250</v>
      </c>
      <c r="B269" s="33"/>
      <c r="C269" s="34"/>
      <c r="D269" s="17"/>
      <c r="E269" s="257"/>
      <c r="F269" s="164"/>
    </row>
    <row r="270" spans="1:6" ht="25.5" x14ac:dyDescent="0.2">
      <c r="A270" s="90" t="s">
        <v>564</v>
      </c>
      <c r="B270" s="91"/>
      <c r="C270" s="92"/>
      <c r="D270" s="91" t="s">
        <v>233</v>
      </c>
      <c r="E270" s="264" t="s">
        <v>71</v>
      </c>
      <c r="F270" s="170"/>
    </row>
    <row r="271" spans="1:6" ht="15" thickBot="1" x14ac:dyDescent="0.25">
      <c r="A271" s="20"/>
      <c r="B271" s="37"/>
      <c r="C271" s="38"/>
      <c r="D271" s="21"/>
      <c r="E271" s="259"/>
      <c r="F271" s="166"/>
    </row>
    <row r="272" spans="1:6" ht="15" thickBot="1" x14ac:dyDescent="0.25">
      <c r="A272" s="22" t="s">
        <v>234</v>
      </c>
      <c r="B272" s="41" t="s">
        <v>235</v>
      </c>
      <c r="C272" s="42" t="s">
        <v>236</v>
      </c>
      <c r="D272" s="23" t="s">
        <v>237</v>
      </c>
      <c r="E272" s="260" t="s">
        <v>67</v>
      </c>
      <c r="F272" s="167" t="s">
        <v>238</v>
      </c>
    </row>
    <row r="273" spans="1:7" ht="15.75" thickTop="1" x14ac:dyDescent="0.25">
      <c r="A273" s="24" t="s">
        <v>239</v>
      </c>
      <c r="B273" s="44"/>
      <c r="C273" s="45"/>
      <c r="D273" s="25"/>
      <c r="E273" s="261"/>
      <c r="F273" s="168"/>
    </row>
    <row r="274" spans="1:7" x14ac:dyDescent="0.2">
      <c r="A274" s="27" t="s">
        <v>98</v>
      </c>
      <c r="B274" s="44">
        <v>344693.25</v>
      </c>
      <c r="C274" s="47">
        <v>1</v>
      </c>
      <c r="D274" s="25" t="s">
        <v>69</v>
      </c>
      <c r="E274" s="261">
        <v>0.05</v>
      </c>
      <c r="F274" s="168">
        <f>+B274*C274*(1+E274)</f>
        <v>361927.91250000003</v>
      </c>
    </row>
    <row r="275" spans="1:7" x14ac:dyDescent="0.2">
      <c r="A275" s="27"/>
      <c r="B275" s="44"/>
      <c r="C275" s="45"/>
      <c r="D275" s="25"/>
      <c r="E275" s="261"/>
      <c r="F275" s="168"/>
    </row>
    <row r="276" spans="1:7" ht="15" thickBot="1" x14ac:dyDescent="0.25">
      <c r="A276" s="20"/>
      <c r="B276" s="39"/>
      <c r="C276" s="38"/>
      <c r="D276" s="21"/>
      <c r="E276" s="259"/>
      <c r="F276" s="166"/>
      <c r="G276" s="55">
        <f>SUM(F273:F275)</f>
        <v>361927.91250000003</v>
      </c>
    </row>
    <row r="277" spans="1:7" ht="15" x14ac:dyDescent="0.25">
      <c r="A277" s="28" t="s">
        <v>240</v>
      </c>
      <c r="B277" s="49"/>
      <c r="C277" s="50"/>
      <c r="D277" s="29"/>
      <c r="E277" s="262"/>
      <c r="F277" s="164"/>
    </row>
    <row r="278" spans="1:7" x14ac:dyDescent="0.2">
      <c r="A278" s="27" t="s">
        <v>91</v>
      </c>
      <c r="B278" s="44">
        <v>80000</v>
      </c>
      <c r="C278" s="45">
        <v>1</v>
      </c>
      <c r="D278" s="25" t="s">
        <v>69</v>
      </c>
      <c r="E278" s="261">
        <v>0</v>
      </c>
      <c r="F278" s="168">
        <f>+B278*C278*(1+E278)</f>
        <v>80000</v>
      </c>
    </row>
    <row r="279" spans="1:7" x14ac:dyDescent="0.2">
      <c r="A279" s="27" t="s">
        <v>93</v>
      </c>
      <c r="B279" s="83">
        <v>72385.582500000004</v>
      </c>
      <c r="C279" s="45">
        <v>1</v>
      </c>
      <c r="D279" s="25" t="s">
        <v>69</v>
      </c>
      <c r="E279" s="261">
        <v>0.03</v>
      </c>
      <c r="F279" s="168">
        <f>+B279*C279*(1+E279)</f>
        <v>74557.149975000008</v>
      </c>
    </row>
    <row r="280" spans="1:7" x14ac:dyDescent="0.2">
      <c r="A280" s="27"/>
      <c r="B280" s="44"/>
      <c r="C280" s="45"/>
      <c r="D280" s="25"/>
      <c r="E280" s="261"/>
      <c r="F280" s="168"/>
    </row>
    <row r="281" spans="1:7" ht="15" thickBot="1" x14ac:dyDescent="0.25">
      <c r="A281" s="20"/>
      <c r="B281" s="39"/>
      <c r="C281" s="38"/>
      <c r="D281" s="21"/>
      <c r="E281" s="259"/>
      <c r="F281" s="166"/>
    </row>
    <row r="282" spans="1:7" ht="15" x14ac:dyDescent="0.25">
      <c r="A282" s="28" t="s">
        <v>116</v>
      </c>
      <c r="B282" s="49"/>
      <c r="C282" s="50"/>
      <c r="D282" s="29"/>
      <c r="E282" s="262"/>
      <c r="F282" s="164"/>
    </row>
    <row r="283" spans="1:7" x14ac:dyDescent="0.2">
      <c r="A283" s="27" t="s">
        <v>92</v>
      </c>
      <c r="B283" s="83">
        <v>18096.395625000001</v>
      </c>
      <c r="C283" s="45">
        <v>1</v>
      </c>
      <c r="D283" s="25" t="s">
        <v>69</v>
      </c>
      <c r="E283" s="261">
        <v>0.03</v>
      </c>
      <c r="F283" s="168">
        <f>+B283*C283*(1+E283)</f>
        <v>18639.287493750002</v>
      </c>
    </row>
    <row r="284" spans="1:7" ht="15" thickBot="1" x14ac:dyDescent="0.25">
      <c r="A284" s="20"/>
      <c r="B284" s="39"/>
      <c r="C284" s="38"/>
      <c r="D284" s="21"/>
      <c r="E284" s="259"/>
      <c r="F284" s="166"/>
    </row>
    <row r="285" spans="1:7" ht="15" x14ac:dyDescent="0.25">
      <c r="A285" s="24" t="s">
        <v>70</v>
      </c>
      <c r="B285" s="44"/>
      <c r="C285" s="45"/>
      <c r="D285" s="25"/>
      <c r="E285" s="261"/>
      <c r="F285" s="168"/>
    </row>
    <row r="286" spans="1:7" x14ac:dyDescent="0.2">
      <c r="A286" s="27" t="s">
        <v>89</v>
      </c>
      <c r="B286" s="44">
        <v>9198.3962499999998</v>
      </c>
      <c r="C286" s="45">
        <v>20</v>
      </c>
      <c r="D286" s="25" t="s">
        <v>77</v>
      </c>
      <c r="E286" s="261">
        <v>0</v>
      </c>
      <c r="F286" s="168">
        <f>+B286*C286*(1+E286)</f>
        <v>183967.92499999999</v>
      </c>
    </row>
    <row r="287" spans="1:7" ht="15" thickBot="1" x14ac:dyDescent="0.25">
      <c r="A287" s="27"/>
      <c r="B287" s="44"/>
      <c r="C287" s="45"/>
      <c r="D287" s="25"/>
      <c r="E287" s="261"/>
      <c r="F287" s="168"/>
    </row>
    <row r="288" spans="1:7" ht="15.75" thickBot="1" x14ac:dyDescent="0.3">
      <c r="A288" s="30"/>
      <c r="B288" s="52"/>
      <c r="C288" s="53"/>
      <c r="D288" s="31"/>
      <c r="E288" s="263" t="s">
        <v>241</v>
      </c>
      <c r="F288" s="169">
        <f>SUM(F274:F286)</f>
        <v>719092.27496875008</v>
      </c>
    </row>
    <row r="292" spans="1:7" ht="15" thickBot="1" x14ac:dyDescent="0.25"/>
    <row r="293" spans="1:7" x14ac:dyDescent="0.2">
      <c r="A293" s="16" t="s">
        <v>250</v>
      </c>
      <c r="B293" s="33"/>
      <c r="C293" s="34"/>
      <c r="D293" s="17"/>
      <c r="E293" s="257"/>
      <c r="F293" s="164"/>
    </row>
    <row r="294" spans="1:7" ht="25.5" x14ac:dyDescent="0.2">
      <c r="A294" s="90" t="s">
        <v>313</v>
      </c>
      <c r="B294" s="91"/>
      <c r="C294" s="92"/>
      <c r="D294" s="91" t="s">
        <v>233</v>
      </c>
      <c r="E294" s="264" t="s">
        <v>75</v>
      </c>
      <c r="F294" s="170"/>
    </row>
    <row r="295" spans="1:7" ht="15" thickBot="1" x14ac:dyDescent="0.25">
      <c r="A295" s="20"/>
      <c r="B295" s="37"/>
      <c r="C295" s="38"/>
      <c r="D295" s="21"/>
      <c r="E295" s="259"/>
      <c r="F295" s="166"/>
    </row>
    <row r="296" spans="1:7" ht="15" thickBot="1" x14ac:dyDescent="0.25">
      <c r="A296" s="22" t="s">
        <v>234</v>
      </c>
      <c r="B296" s="41" t="s">
        <v>235</v>
      </c>
      <c r="C296" s="42" t="s">
        <v>236</v>
      </c>
      <c r="D296" s="23" t="s">
        <v>237</v>
      </c>
      <c r="E296" s="260" t="s">
        <v>67</v>
      </c>
      <c r="F296" s="167" t="s">
        <v>238</v>
      </c>
    </row>
    <row r="297" spans="1:7" ht="15.75" thickTop="1" x14ac:dyDescent="0.25">
      <c r="A297" s="24" t="s">
        <v>239</v>
      </c>
      <c r="B297" s="44"/>
      <c r="C297" s="45"/>
      <c r="D297" s="25"/>
      <c r="E297" s="261"/>
      <c r="F297" s="168"/>
    </row>
    <row r="298" spans="1:7" x14ac:dyDescent="0.2">
      <c r="A298" s="27" t="s">
        <v>97</v>
      </c>
      <c r="B298" s="44">
        <v>308448.95</v>
      </c>
      <c r="C298" s="47">
        <v>0.1</v>
      </c>
      <c r="D298" s="25" t="s">
        <v>86</v>
      </c>
      <c r="E298" s="261">
        <v>0.05</v>
      </c>
      <c r="F298" s="168">
        <f>+B298*C298*(1+E298)</f>
        <v>32387.139750000006</v>
      </c>
    </row>
    <row r="299" spans="1:7" x14ac:dyDescent="0.2">
      <c r="A299" s="27"/>
      <c r="B299" s="44"/>
      <c r="C299" s="45"/>
      <c r="D299" s="25"/>
      <c r="E299" s="261"/>
      <c r="F299" s="168"/>
    </row>
    <row r="300" spans="1:7" ht="15" thickBot="1" x14ac:dyDescent="0.25">
      <c r="A300" s="20"/>
      <c r="B300" s="39"/>
      <c r="C300" s="38"/>
      <c r="D300" s="21"/>
      <c r="E300" s="259"/>
      <c r="F300" s="166"/>
      <c r="G300" s="55">
        <f>SUM(F297:F299)</f>
        <v>32387.139750000006</v>
      </c>
    </row>
    <row r="301" spans="1:7" ht="15" x14ac:dyDescent="0.25">
      <c r="A301" s="28" t="s">
        <v>240</v>
      </c>
      <c r="B301" s="49"/>
      <c r="C301" s="50"/>
      <c r="D301" s="29"/>
      <c r="E301" s="262"/>
      <c r="F301" s="164"/>
    </row>
    <row r="302" spans="1:7" x14ac:dyDescent="0.2">
      <c r="A302" s="27" t="s">
        <v>170</v>
      </c>
      <c r="B302" s="44">
        <v>45000</v>
      </c>
      <c r="C302" s="45">
        <v>1</v>
      </c>
      <c r="D302" s="25" t="s">
        <v>85</v>
      </c>
      <c r="E302" s="261">
        <v>0</v>
      </c>
      <c r="F302" s="168">
        <f t="shared" ref="F302:F303" si="1">+B302*C302*(1+E302)</f>
        <v>45000</v>
      </c>
    </row>
    <row r="303" spans="1:7" x14ac:dyDescent="0.2">
      <c r="A303" s="27" t="s">
        <v>93</v>
      </c>
      <c r="B303" s="83">
        <v>6477.4279500000011</v>
      </c>
      <c r="C303" s="45">
        <v>1</v>
      </c>
      <c r="D303" s="25" t="s">
        <v>85</v>
      </c>
      <c r="E303" s="261">
        <v>0</v>
      </c>
      <c r="F303" s="168">
        <f t="shared" si="1"/>
        <v>6477.4279500000011</v>
      </c>
    </row>
    <row r="304" spans="1:7" x14ac:dyDescent="0.2">
      <c r="A304" s="27"/>
      <c r="B304" s="44"/>
      <c r="C304" s="45"/>
      <c r="D304" s="25"/>
      <c r="E304" s="261"/>
      <c r="F304" s="168"/>
    </row>
    <row r="305" spans="1:6" ht="15" thickBot="1" x14ac:dyDescent="0.25">
      <c r="A305" s="20"/>
      <c r="B305" s="39"/>
      <c r="C305" s="38"/>
      <c r="D305" s="21"/>
      <c r="E305" s="259"/>
      <c r="F305" s="166"/>
    </row>
    <row r="306" spans="1:6" ht="15" x14ac:dyDescent="0.25">
      <c r="A306" s="28" t="s">
        <v>116</v>
      </c>
      <c r="B306" s="49"/>
      <c r="C306" s="50"/>
      <c r="D306" s="29"/>
      <c r="E306" s="262"/>
      <c r="F306" s="164"/>
    </row>
    <row r="307" spans="1:6" x14ac:dyDescent="0.2">
      <c r="A307" s="27" t="s">
        <v>92</v>
      </c>
      <c r="B307" s="83">
        <v>1619.3569875000003</v>
      </c>
      <c r="C307" s="45">
        <v>1</v>
      </c>
      <c r="D307" s="25" t="s">
        <v>85</v>
      </c>
      <c r="E307" s="261">
        <v>0</v>
      </c>
      <c r="F307" s="168">
        <f t="shared" ref="F307" si="2">+B307*C307*(1+E307)</f>
        <v>1619.3569875000003</v>
      </c>
    </row>
    <row r="308" spans="1:6" ht="15" thickBot="1" x14ac:dyDescent="0.25">
      <c r="A308" s="20"/>
      <c r="B308" s="39"/>
      <c r="C308" s="38"/>
      <c r="D308" s="21"/>
      <c r="E308" s="259"/>
      <c r="F308" s="166"/>
    </row>
    <row r="309" spans="1:6" ht="15" x14ac:dyDescent="0.25">
      <c r="A309" s="24" t="s">
        <v>70</v>
      </c>
      <c r="B309" s="44"/>
      <c r="C309" s="45"/>
      <c r="D309" s="25"/>
      <c r="E309" s="261"/>
      <c r="F309" s="168"/>
    </row>
    <row r="310" spans="1:6" x14ac:dyDescent="0.2">
      <c r="A310" s="27" t="s">
        <v>171</v>
      </c>
      <c r="B310" s="44">
        <v>9198.3962499999998</v>
      </c>
      <c r="C310" s="45">
        <v>4</v>
      </c>
      <c r="D310" s="25" t="s">
        <v>83</v>
      </c>
      <c r="E310" s="261">
        <v>0</v>
      </c>
      <c r="F310" s="168">
        <f>+B310*C310*(1+E310)</f>
        <v>36793.584999999999</v>
      </c>
    </row>
    <row r="311" spans="1:6" ht="15" thickBot="1" x14ac:dyDescent="0.25">
      <c r="A311" s="27"/>
      <c r="B311" s="44"/>
      <c r="C311" s="45"/>
      <c r="D311" s="25"/>
      <c r="E311" s="261"/>
      <c r="F311" s="168"/>
    </row>
    <row r="312" spans="1:6" ht="15.75" thickBot="1" x14ac:dyDescent="0.3">
      <c r="A312" s="30"/>
      <c r="B312" s="52"/>
      <c r="C312" s="53"/>
      <c r="D312" s="31"/>
      <c r="E312" s="263" t="s">
        <v>241</v>
      </c>
      <c r="F312" s="169">
        <f>SUM(F298:F310)</f>
        <v>122277.50968749999</v>
      </c>
    </row>
    <row r="314" spans="1:6" ht="15" thickBot="1" x14ac:dyDescent="0.25"/>
    <row r="315" spans="1:6" x14ac:dyDescent="0.2">
      <c r="A315" s="16" t="s">
        <v>250</v>
      </c>
      <c r="B315" s="33"/>
      <c r="C315" s="34"/>
      <c r="D315" s="17"/>
      <c r="E315" s="257"/>
      <c r="F315" s="164"/>
    </row>
    <row r="316" spans="1:6" x14ac:dyDescent="0.2">
      <c r="A316" s="90" t="s">
        <v>314</v>
      </c>
      <c r="B316" s="91"/>
      <c r="C316" s="92"/>
      <c r="D316" s="91" t="s">
        <v>233</v>
      </c>
      <c r="E316" s="258" t="s">
        <v>80</v>
      </c>
      <c r="F316" s="165"/>
    </row>
    <row r="317" spans="1:6" ht="15" thickBot="1" x14ac:dyDescent="0.25">
      <c r="A317" s="20"/>
      <c r="B317" s="37"/>
      <c r="C317" s="38"/>
      <c r="D317" s="21"/>
      <c r="E317" s="259"/>
      <c r="F317" s="166"/>
    </row>
    <row r="318" spans="1:6" ht="15" thickBot="1" x14ac:dyDescent="0.25">
      <c r="A318" s="22" t="s">
        <v>234</v>
      </c>
      <c r="B318" s="41" t="s">
        <v>235</v>
      </c>
      <c r="C318" s="42" t="s">
        <v>236</v>
      </c>
      <c r="D318" s="23" t="s">
        <v>237</v>
      </c>
      <c r="E318" s="260" t="s">
        <v>67</v>
      </c>
      <c r="F318" s="167" t="s">
        <v>238</v>
      </c>
    </row>
    <row r="319" spans="1:6" ht="15.75" thickTop="1" x14ac:dyDescent="0.25">
      <c r="A319" s="24" t="s">
        <v>239</v>
      </c>
      <c r="B319" s="44"/>
      <c r="C319" s="45"/>
      <c r="D319" s="25"/>
      <c r="E319" s="261"/>
      <c r="F319" s="168"/>
    </row>
    <row r="320" spans="1:6" x14ac:dyDescent="0.2">
      <c r="A320" s="27" t="s">
        <v>88</v>
      </c>
      <c r="B320" s="44">
        <v>297837</v>
      </c>
      <c r="C320" s="47">
        <v>0.03</v>
      </c>
      <c r="D320" s="25" t="s">
        <v>87</v>
      </c>
      <c r="E320" s="261">
        <v>0.05</v>
      </c>
      <c r="F320" s="168">
        <f>+B320*C320*(1+E320)</f>
        <v>9381.8654999999999</v>
      </c>
    </row>
    <row r="321" spans="1:7" x14ac:dyDescent="0.2">
      <c r="A321" s="27" t="s">
        <v>95</v>
      </c>
      <c r="B321" s="44">
        <f>7800*1.19</f>
        <v>9282</v>
      </c>
      <c r="C321" s="45">
        <v>0.33333333333333331</v>
      </c>
      <c r="D321" s="25" t="s">
        <v>90</v>
      </c>
      <c r="E321" s="261">
        <v>0.03</v>
      </c>
      <c r="F321" s="168">
        <f>+B321*C321*(1+E321)</f>
        <v>3186.82</v>
      </c>
    </row>
    <row r="322" spans="1:7" ht="15" thickBot="1" x14ac:dyDescent="0.25">
      <c r="A322" s="20"/>
      <c r="B322" s="39"/>
      <c r="C322" s="38"/>
      <c r="D322" s="21"/>
      <c r="E322" s="259"/>
      <c r="F322" s="166"/>
      <c r="G322" s="55">
        <f>SUM(F319:F321)</f>
        <v>12568.6855</v>
      </c>
    </row>
    <row r="323" spans="1:7" ht="15" x14ac:dyDescent="0.25">
      <c r="A323" s="28" t="s">
        <v>240</v>
      </c>
      <c r="B323" s="49"/>
      <c r="C323" s="50"/>
      <c r="D323" s="29"/>
      <c r="E323" s="262"/>
      <c r="F323" s="164"/>
    </row>
    <row r="324" spans="1:7" x14ac:dyDescent="0.2">
      <c r="A324" s="27" t="s">
        <v>91</v>
      </c>
      <c r="B324" s="44">
        <v>8000</v>
      </c>
      <c r="C324" s="45">
        <v>1</v>
      </c>
      <c r="D324" s="25" t="s">
        <v>82</v>
      </c>
      <c r="E324" s="261">
        <v>0</v>
      </c>
      <c r="F324" s="168">
        <f>+B324*C324*(1+E324)</f>
        <v>8000</v>
      </c>
    </row>
    <row r="325" spans="1:7" x14ac:dyDescent="0.2">
      <c r="A325" s="27" t="s">
        <v>93</v>
      </c>
      <c r="B325" s="83">
        <v>1256.8685500000001</v>
      </c>
      <c r="C325" s="45">
        <v>1</v>
      </c>
      <c r="D325" s="25" t="s">
        <v>82</v>
      </c>
      <c r="E325" s="261">
        <v>0</v>
      </c>
      <c r="F325" s="168">
        <f>+B325*C325*(1+E325)</f>
        <v>1256.8685500000001</v>
      </c>
    </row>
    <row r="326" spans="1:7" x14ac:dyDescent="0.2">
      <c r="A326" s="27"/>
      <c r="B326" s="44"/>
      <c r="C326" s="45"/>
      <c r="D326" s="25"/>
      <c r="E326" s="261"/>
      <c r="F326" s="168"/>
    </row>
    <row r="327" spans="1:7" ht="15" thickBot="1" x14ac:dyDescent="0.25">
      <c r="A327" s="20"/>
      <c r="B327" s="39"/>
      <c r="C327" s="38"/>
      <c r="D327" s="21"/>
      <c r="E327" s="259"/>
      <c r="F327" s="166"/>
    </row>
    <row r="328" spans="1:7" ht="15" x14ac:dyDescent="0.25">
      <c r="A328" s="28" t="s">
        <v>116</v>
      </c>
      <c r="B328" s="49"/>
      <c r="C328" s="50"/>
      <c r="D328" s="29"/>
      <c r="E328" s="262"/>
      <c r="F328" s="164"/>
    </row>
    <row r="329" spans="1:7" x14ac:dyDescent="0.2">
      <c r="A329" s="27" t="s">
        <v>92</v>
      </c>
      <c r="B329" s="83">
        <v>628.43427500000007</v>
      </c>
      <c r="C329" s="45">
        <v>1</v>
      </c>
      <c r="D329" s="25" t="s">
        <v>82</v>
      </c>
      <c r="E329" s="261">
        <v>0</v>
      </c>
      <c r="F329" s="168">
        <f>+B329*C329*(1+E329)</f>
        <v>628.43427500000007</v>
      </c>
    </row>
    <row r="330" spans="1:7" ht="15" thickBot="1" x14ac:dyDescent="0.25">
      <c r="A330" s="20"/>
      <c r="B330" s="39"/>
      <c r="C330" s="38"/>
      <c r="D330" s="21"/>
      <c r="E330" s="259"/>
      <c r="F330" s="166"/>
    </row>
    <row r="331" spans="1:7" ht="15" x14ac:dyDescent="0.25">
      <c r="A331" s="24" t="s">
        <v>70</v>
      </c>
      <c r="B331" s="44"/>
      <c r="C331" s="45"/>
      <c r="D331" s="25"/>
      <c r="E331" s="261"/>
      <c r="F331" s="168"/>
    </row>
    <row r="332" spans="1:7" x14ac:dyDescent="0.2">
      <c r="A332" s="27" t="s">
        <v>171</v>
      </c>
      <c r="B332" s="44">
        <v>9198.3962499999998</v>
      </c>
      <c r="C332" s="45">
        <v>1.6</v>
      </c>
      <c r="D332" s="25" t="s">
        <v>81</v>
      </c>
      <c r="E332" s="261">
        <v>0</v>
      </c>
      <c r="F332" s="168">
        <f>+B332*C332*(1+E332)</f>
        <v>14717.434000000001</v>
      </c>
    </row>
    <row r="333" spans="1:7" ht="15" thickBot="1" x14ac:dyDescent="0.25">
      <c r="A333" s="27"/>
      <c r="B333" s="44"/>
      <c r="C333" s="45"/>
      <c r="D333" s="25"/>
      <c r="E333" s="261"/>
      <c r="F333" s="168"/>
    </row>
    <row r="334" spans="1:7" ht="15.75" thickBot="1" x14ac:dyDescent="0.3">
      <c r="A334" s="30"/>
      <c r="B334" s="52"/>
      <c r="C334" s="53"/>
      <c r="D334" s="31"/>
      <c r="E334" s="263" t="s">
        <v>241</v>
      </c>
      <c r="F334" s="169">
        <f>SUM(F320:F332)</f>
        <v>37171.422325</v>
      </c>
    </row>
    <row r="336" spans="1:7" ht="15" thickBot="1" x14ac:dyDescent="0.25"/>
    <row r="337" spans="1:7" x14ac:dyDescent="0.2">
      <c r="A337" s="16" t="s">
        <v>250</v>
      </c>
      <c r="B337" s="33"/>
      <c r="C337" s="34"/>
      <c r="D337" s="17"/>
      <c r="E337" s="257"/>
      <c r="F337" s="164"/>
    </row>
    <row r="338" spans="1:7" ht="25.5" x14ac:dyDescent="0.2">
      <c r="A338" s="90" t="s">
        <v>315</v>
      </c>
      <c r="B338" s="91"/>
      <c r="C338" s="92"/>
      <c r="D338" s="91" t="s">
        <v>233</v>
      </c>
      <c r="E338" s="258" t="s">
        <v>71</v>
      </c>
      <c r="F338" s="165"/>
    </row>
    <row r="339" spans="1:7" ht="15" thickBot="1" x14ac:dyDescent="0.25">
      <c r="A339" s="20"/>
      <c r="B339" s="37"/>
      <c r="C339" s="38"/>
      <c r="D339" s="21"/>
      <c r="E339" s="259"/>
      <c r="F339" s="166"/>
    </row>
    <row r="340" spans="1:7" ht="15" thickBot="1" x14ac:dyDescent="0.25">
      <c r="A340" s="22" t="s">
        <v>234</v>
      </c>
      <c r="B340" s="41" t="s">
        <v>235</v>
      </c>
      <c r="C340" s="42" t="s">
        <v>236</v>
      </c>
      <c r="D340" s="23" t="s">
        <v>237</v>
      </c>
      <c r="E340" s="260" t="s">
        <v>67</v>
      </c>
      <c r="F340" s="167" t="s">
        <v>238</v>
      </c>
    </row>
    <row r="341" spans="1:7" ht="15.75" thickTop="1" x14ac:dyDescent="0.25">
      <c r="A341" s="24" t="s">
        <v>239</v>
      </c>
      <c r="B341" s="44"/>
      <c r="C341" s="45"/>
      <c r="D341" s="25"/>
      <c r="E341" s="261"/>
      <c r="F341" s="168"/>
    </row>
    <row r="342" spans="1:7" x14ac:dyDescent="0.2">
      <c r="A342" s="27" t="s">
        <v>88</v>
      </c>
      <c r="B342" s="44">
        <v>297837</v>
      </c>
      <c r="C342" s="47">
        <v>1</v>
      </c>
      <c r="D342" s="25" t="s">
        <v>69</v>
      </c>
      <c r="E342" s="261">
        <v>0.05</v>
      </c>
      <c r="F342" s="168">
        <f>+B342*C342*(1+E342)</f>
        <v>312728.85000000003</v>
      </c>
    </row>
    <row r="343" spans="1:7" x14ac:dyDescent="0.2">
      <c r="A343" s="27" t="s">
        <v>96</v>
      </c>
      <c r="B343" s="44">
        <v>21400</v>
      </c>
      <c r="C343" s="45">
        <v>1</v>
      </c>
      <c r="D343" s="25" t="s">
        <v>94</v>
      </c>
      <c r="E343" s="261">
        <v>0.03</v>
      </c>
      <c r="F343" s="168">
        <f>+B343*C343*(1+E343)</f>
        <v>22042</v>
      </c>
    </row>
    <row r="344" spans="1:7" x14ac:dyDescent="0.2">
      <c r="A344" s="27" t="s">
        <v>95</v>
      </c>
      <c r="B344" s="44">
        <f>7800*1.19</f>
        <v>9282</v>
      </c>
      <c r="C344" s="45">
        <v>0.33333333333333331</v>
      </c>
      <c r="D344" s="25" t="s">
        <v>94</v>
      </c>
      <c r="E344" s="261">
        <v>0.03</v>
      </c>
      <c r="F344" s="168">
        <f>+B344*C344*(1+E344)</f>
        <v>3186.82</v>
      </c>
    </row>
    <row r="345" spans="1:7" ht="15" thickBot="1" x14ac:dyDescent="0.25">
      <c r="A345" s="20"/>
      <c r="B345" s="39"/>
      <c r="C345" s="38"/>
      <c r="D345" s="21"/>
      <c r="E345" s="259"/>
      <c r="F345" s="166"/>
      <c r="G345" s="55">
        <f>SUM(F342:F344)</f>
        <v>337957.67000000004</v>
      </c>
    </row>
    <row r="346" spans="1:7" ht="15" x14ac:dyDescent="0.25">
      <c r="A346" s="28" t="s">
        <v>240</v>
      </c>
      <c r="B346" s="49"/>
      <c r="C346" s="50"/>
      <c r="D346" s="29"/>
      <c r="E346" s="262"/>
      <c r="F346" s="164"/>
    </row>
    <row r="347" spans="1:7" x14ac:dyDescent="0.2">
      <c r="A347" s="27" t="s">
        <v>91</v>
      </c>
      <c r="B347" s="44">
        <v>50000</v>
      </c>
      <c r="C347" s="45">
        <v>1</v>
      </c>
      <c r="D347" s="25" t="s">
        <v>69</v>
      </c>
      <c r="E347" s="261">
        <v>0</v>
      </c>
      <c r="F347" s="168">
        <f>+B347*C347*(1+E347)</f>
        <v>50000</v>
      </c>
    </row>
    <row r="348" spans="1:7" x14ac:dyDescent="0.2">
      <c r="A348" s="27" t="s">
        <v>93</v>
      </c>
      <c r="B348" s="83">
        <v>16897.883500000004</v>
      </c>
      <c r="C348" s="45">
        <v>1</v>
      </c>
      <c r="D348" s="25" t="s">
        <v>69</v>
      </c>
      <c r="E348" s="261">
        <v>0</v>
      </c>
      <c r="F348" s="168">
        <f>+B348*C348*(1+E348)</f>
        <v>16897.883500000004</v>
      </c>
    </row>
    <row r="349" spans="1:7" x14ac:dyDescent="0.2">
      <c r="A349" s="27"/>
      <c r="B349" s="44"/>
      <c r="C349" s="45"/>
      <c r="D349" s="25"/>
      <c r="E349" s="261"/>
      <c r="F349" s="168"/>
    </row>
    <row r="350" spans="1:7" ht="15" thickBot="1" x14ac:dyDescent="0.25">
      <c r="A350" s="20"/>
      <c r="B350" s="39"/>
      <c r="C350" s="38"/>
      <c r="D350" s="21"/>
      <c r="E350" s="259"/>
      <c r="F350" s="166"/>
    </row>
    <row r="351" spans="1:7" ht="15" x14ac:dyDescent="0.25">
      <c r="A351" s="28" t="s">
        <v>116</v>
      </c>
      <c r="B351" s="49"/>
      <c r="C351" s="50"/>
      <c r="D351" s="29"/>
      <c r="E351" s="262"/>
      <c r="F351" s="164"/>
    </row>
    <row r="352" spans="1:7" x14ac:dyDescent="0.2">
      <c r="A352" s="27" t="s">
        <v>92</v>
      </c>
      <c r="B352" s="44">
        <v>15373</v>
      </c>
      <c r="C352" s="45">
        <v>1</v>
      </c>
      <c r="D352" s="25" t="s">
        <v>69</v>
      </c>
      <c r="E352" s="261">
        <v>0</v>
      </c>
      <c r="F352" s="168">
        <f>+B352*C352*(1+E352)</f>
        <v>15373</v>
      </c>
    </row>
    <row r="353" spans="1:7" ht="15" thickBot="1" x14ac:dyDescent="0.25">
      <c r="A353" s="20"/>
      <c r="B353" s="39"/>
      <c r="C353" s="38"/>
      <c r="D353" s="21"/>
      <c r="E353" s="259"/>
      <c r="F353" s="166"/>
    </row>
    <row r="354" spans="1:7" ht="15" x14ac:dyDescent="0.25">
      <c r="A354" s="24" t="s">
        <v>70</v>
      </c>
      <c r="B354" s="44"/>
      <c r="C354" s="45"/>
      <c r="D354" s="25"/>
      <c r="E354" s="261"/>
      <c r="F354" s="168"/>
    </row>
    <row r="355" spans="1:7" x14ac:dyDescent="0.2">
      <c r="A355" s="27" t="s">
        <v>70</v>
      </c>
      <c r="B355" s="44">
        <v>9198.3962499999998</v>
      </c>
      <c r="C355" s="45">
        <v>16</v>
      </c>
      <c r="D355" s="25" t="s">
        <v>77</v>
      </c>
      <c r="E355" s="261">
        <v>0</v>
      </c>
      <c r="F355" s="168">
        <f>+B355*C355*(1+E355)</f>
        <v>147174.34</v>
      </c>
    </row>
    <row r="356" spans="1:7" ht="15" thickBot="1" x14ac:dyDescent="0.25">
      <c r="A356" s="27"/>
      <c r="B356" s="44"/>
      <c r="C356" s="45"/>
      <c r="D356" s="25"/>
      <c r="E356" s="261"/>
      <c r="F356" s="168"/>
    </row>
    <row r="357" spans="1:7" ht="15.75" thickBot="1" x14ac:dyDescent="0.3">
      <c r="A357" s="30"/>
      <c r="B357" s="52"/>
      <c r="C357" s="53"/>
      <c r="D357" s="31"/>
      <c r="E357" s="263" t="s">
        <v>241</v>
      </c>
      <c r="F357" s="169">
        <f>SUM(F342:F355)</f>
        <v>567402.89350000001</v>
      </c>
    </row>
    <row r="359" spans="1:7" ht="15" thickBot="1" x14ac:dyDescent="0.25"/>
    <row r="360" spans="1:7" x14ac:dyDescent="0.2">
      <c r="A360" s="16" t="s">
        <v>250</v>
      </c>
      <c r="B360" s="33"/>
      <c r="C360" s="34"/>
      <c r="D360" s="17"/>
      <c r="E360" s="257"/>
      <c r="F360" s="164"/>
    </row>
    <row r="361" spans="1:7" ht="25.5" x14ac:dyDescent="0.2">
      <c r="A361" s="90" t="s">
        <v>316</v>
      </c>
      <c r="B361" s="91"/>
      <c r="C361" s="92"/>
      <c r="D361" s="91" t="s">
        <v>233</v>
      </c>
      <c r="E361" s="264" t="s">
        <v>75</v>
      </c>
      <c r="F361" s="170"/>
    </row>
    <row r="362" spans="1:7" ht="15" thickBot="1" x14ac:dyDescent="0.25">
      <c r="A362" s="20"/>
      <c r="B362" s="37"/>
      <c r="C362" s="38"/>
      <c r="D362" s="21"/>
      <c r="E362" s="259"/>
      <c r="F362" s="166"/>
    </row>
    <row r="363" spans="1:7" ht="15" thickBot="1" x14ac:dyDescent="0.25">
      <c r="A363" s="22" t="s">
        <v>234</v>
      </c>
      <c r="B363" s="41" t="s">
        <v>235</v>
      </c>
      <c r="C363" s="42" t="s">
        <v>236</v>
      </c>
      <c r="D363" s="23" t="s">
        <v>237</v>
      </c>
      <c r="E363" s="260" t="s">
        <v>67</v>
      </c>
      <c r="F363" s="167" t="s">
        <v>238</v>
      </c>
    </row>
    <row r="364" spans="1:7" ht="15.75" thickTop="1" x14ac:dyDescent="0.25">
      <c r="A364" s="24" t="s">
        <v>239</v>
      </c>
      <c r="B364" s="44"/>
      <c r="C364" s="45"/>
      <c r="D364" s="25"/>
      <c r="E364" s="261"/>
      <c r="F364" s="168"/>
    </row>
    <row r="365" spans="1:7" x14ac:dyDescent="0.2">
      <c r="A365" s="27" t="s">
        <v>88</v>
      </c>
      <c r="B365" s="44">
        <v>290400</v>
      </c>
      <c r="C365" s="47">
        <v>0.1</v>
      </c>
      <c r="D365" s="25" t="s">
        <v>86</v>
      </c>
      <c r="E365" s="261">
        <v>0.05</v>
      </c>
      <c r="F365" s="168">
        <f>+B365*C365*(1+E365)</f>
        <v>30492</v>
      </c>
    </row>
    <row r="366" spans="1:7" ht="15" thickBot="1" x14ac:dyDescent="0.25">
      <c r="A366" s="20"/>
      <c r="B366" s="39"/>
      <c r="C366" s="38"/>
      <c r="D366" s="21"/>
      <c r="E366" s="259"/>
      <c r="F366" s="166"/>
      <c r="G366" s="55">
        <f>SUM(F364:F365)</f>
        <v>30492</v>
      </c>
    </row>
    <row r="367" spans="1:7" ht="15" x14ac:dyDescent="0.25">
      <c r="A367" s="28" t="s">
        <v>240</v>
      </c>
      <c r="B367" s="49"/>
      <c r="C367" s="50"/>
      <c r="D367" s="29"/>
      <c r="E367" s="262"/>
      <c r="F367" s="164"/>
    </row>
    <row r="368" spans="1:7" x14ac:dyDescent="0.2">
      <c r="A368" s="27" t="s">
        <v>91</v>
      </c>
      <c r="B368" s="44">
        <v>75000</v>
      </c>
      <c r="C368" s="45">
        <v>1</v>
      </c>
      <c r="D368" s="25" t="s">
        <v>85</v>
      </c>
      <c r="E368" s="261">
        <v>0</v>
      </c>
      <c r="F368" s="168">
        <f>+B368*C368*(1+E368)</f>
        <v>75000</v>
      </c>
    </row>
    <row r="369" spans="1:6" x14ac:dyDescent="0.2">
      <c r="A369" s="27" t="s">
        <v>93</v>
      </c>
      <c r="B369" s="83">
        <v>1524.6000000000001</v>
      </c>
      <c r="C369" s="45">
        <v>1</v>
      </c>
      <c r="D369" s="25" t="s">
        <v>85</v>
      </c>
      <c r="E369" s="261">
        <v>0</v>
      </c>
      <c r="F369" s="168">
        <f t="shared" ref="F369" si="3">+B369*C369*(1+E369)</f>
        <v>1524.6000000000001</v>
      </c>
    </row>
    <row r="370" spans="1:6" x14ac:dyDescent="0.2">
      <c r="A370" s="27"/>
      <c r="B370" s="44"/>
      <c r="C370" s="45"/>
      <c r="D370" s="25"/>
      <c r="E370" s="261"/>
      <c r="F370" s="168"/>
    </row>
    <row r="371" spans="1:6" ht="15" thickBot="1" x14ac:dyDescent="0.25">
      <c r="A371" s="20"/>
      <c r="B371" s="39"/>
      <c r="C371" s="38"/>
      <c r="D371" s="21"/>
      <c r="E371" s="259"/>
      <c r="F371" s="166"/>
    </row>
    <row r="372" spans="1:6" ht="15" x14ac:dyDescent="0.25">
      <c r="A372" s="28" t="s">
        <v>116</v>
      </c>
      <c r="B372" s="49"/>
      <c r="C372" s="50"/>
      <c r="D372" s="29"/>
      <c r="E372" s="262"/>
      <c r="F372" s="164"/>
    </row>
    <row r="373" spans="1:6" x14ac:dyDescent="0.2">
      <c r="A373" s="27" t="s">
        <v>92</v>
      </c>
      <c r="B373" s="83">
        <v>914.76</v>
      </c>
      <c r="C373" s="45">
        <v>1</v>
      </c>
      <c r="D373" s="25" t="s">
        <v>85</v>
      </c>
      <c r="E373" s="261">
        <v>0</v>
      </c>
      <c r="F373" s="168">
        <f t="shared" ref="F373" si="4">+B373*C373*(1+E373)</f>
        <v>914.76</v>
      </c>
    </row>
    <row r="374" spans="1:6" ht="15" thickBot="1" x14ac:dyDescent="0.25">
      <c r="A374" s="20"/>
      <c r="B374" s="39"/>
      <c r="C374" s="38"/>
      <c r="D374" s="21"/>
      <c r="E374" s="259"/>
      <c r="F374" s="166"/>
    </row>
    <row r="375" spans="1:6" ht="15" x14ac:dyDescent="0.25">
      <c r="A375" s="24" t="s">
        <v>70</v>
      </c>
      <c r="B375" s="44"/>
      <c r="C375" s="45"/>
      <c r="D375" s="25"/>
      <c r="E375" s="261"/>
      <c r="F375" s="168"/>
    </row>
    <row r="376" spans="1:6" x14ac:dyDescent="0.2">
      <c r="A376" s="27" t="s">
        <v>70</v>
      </c>
      <c r="B376" s="44">
        <v>9198.3962499999998</v>
      </c>
      <c r="C376" s="45">
        <v>10</v>
      </c>
      <c r="D376" s="25" t="s">
        <v>83</v>
      </c>
      <c r="E376" s="261">
        <v>0</v>
      </c>
      <c r="F376" s="168">
        <f>+B376*C376*(1+E376)</f>
        <v>91983.962499999994</v>
      </c>
    </row>
    <row r="377" spans="1:6" ht="15" thickBot="1" x14ac:dyDescent="0.25">
      <c r="A377" s="27"/>
      <c r="B377" s="44"/>
      <c r="C377" s="45"/>
      <c r="D377" s="25"/>
      <c r="E377" s="261"/>
      <c r="F377" s="168"/>
    </row>
    <row r="378" spans="1:6" ht="15.75" thickBot="1" x14ac:dyDescent="0.3">
      <c r="A378" s="30"/>
      <c r="B378" s="52"/>
      <c r="C378" s="53"/>
      <c r="D378" s="31"/>
      <c r="E378" s="263" t="s">
        <v>241</v>
      </c>
      <c r="F378" s="169">
        <f>SUM(F365:F376)</f>
        <v>199915.32250000001</v>
      </c>
    </row>
    <row r="380" spans="1:6" ht="15" thickBot="1" x14ac:dyDescent="0.25"/>
    <row r="381" spans="1:6" x14ac:dyDescent="0.2">
      <c r="A381" s="16" t="s">
        <v>250</v>
      </c>
      <c r="B381" s="33"/>
      <c r="C381" s="34"/>
      <c r="D381" s="17"/>
      <c r="E381" s="257"/>
      <c r="F381" s="164"/>
    </row>
    <row r="382" spans="1:6" x14ac:dyDescent="0.2">
      <c r="A382" s="90" t="s">
        <v>317</v>
      </c>
      <c r="B382" s="91"/>
      <c r="C382" s="92"/>
      <c r="D382" s="91" t="s">
        <v>233</v>
      </c>
      <c r="E382" s="264" t="s">
        <v>71</v>
      </c>
      <c r="F382" s="170"/>
    </row>
    <row r="383" spans="1:6" ht="15" thickBot="1" x14ac:dyDescent="0.25">
      <c r="A383" s="20"/>
      <c r="B383" s="37"/>
      <c r="C383" s="38"/>
      <c r="D383" s="21"/>
      <c r="E383" s="259"/>
      <c r="F383" s="166"/>
    </row>
    <row r="384" spans="1:6" ht="15" thickBot="1" x14ac:dyDescent="0.25">
      <c r="A384" s="22" t="s">
        <v>234</v>
      </c>
      <c r="B384" s="41" t="s">
        <v>235</v>
      </c>
      <c r="C384" s="42" t="s">
        <v>236</v>
      </c>
      <c r="D384" s="23" t="s">
        <v>237</v>
      </c>
      <c r="E384" s="260" t="s">
        <v>67</v>
      </c>
      <c r="F384" s="167" t="s">
        <v>238</v>
      </c>
    </row>
    <row r="385" spans="1:7" ht="15.75" thickTop="1" x14ac:dyDescent="0.25">
      <c r="A385" s="24" t="s">
        <v>239</v>
      </c>
      <c r="B385" s="44"/>
      <c r="C385" s="45"/>
      <c r="D385" s="25"/>
      <c r="E385" s="261"/>
      <c r="F385" s="168"/>
    </row>
    <row r="386" spans="1:7" x14ac:dyDescent="0.2">
      <c r="A386" s="27" t="s">
        <v>97</v>
      </c>
      <c r="B386" s="44">
        <v>308448.95</v>
      </c>
      <c r="C386" s="47">
        <v>1</v>
      </c>
      <c r="D386" s="25" t="s">
        <v>69</v>
      </c>
      <c r="E386" s="261">
        <v>0.05</v>
      </c>
      <c r="F386" s="168">
        <f>+B386*C386*(1+E386)</f>
        <v>323871.39750000002</v>
      </c>
    </row>
    <row r="387" spans="1:7" ht="15" thickBot="1" x14ac:dyDescent="0.25">
      <c r="A387" s="20"/>
      <c r="B387" s="39"/>
      <c r="C387" s="38"/>
      <c r="D387" s="21"/>
      <c r="E387" s="259"/>
      <c r="F387" s="166"/>
      <c r="G387" s="55">
        <f>SUM(F385:F386)</f>
        <v>323871.39750000002</v>
      </c>
    </row>
    <row r="388" spans="1:7" ht="15" x14ac:dyDescent="0.25">
      <c r="A388" s="28" t="s">
        <v>240</v>
      </c>
      <c r="B388" s="49"/>
      <c r="C388" s="50"/>
      <c r="D388" s="29"/>
      <c r="E388" s="262"/>
      <c r="F388" s="164"/>
    </row>
    <row r="389" spans="1:7" x14ac:dyDescent="0.2">
      <c r="A389" s="27" t="s">
        <v>91</v>
      </c>
      <c r="B389" s="44">
        <v>75000</v>
      </c>
      <c r="C389" s="45">
        <v>1</v>
      </c>
      <c r="D389" s="25" t="s">
        <v>85</v>
      </c>
      <c r="E389" s="261">
        <v>0</v>
      </c>
      <c r="F389" s="168">
        <f t="shared" ref="F389:F390" si="5">+B389*C389*(1+E389)</f>
        <v>75000</v>
      </c>
    </row>
    <row r="390" spans="1:7" x14ac:dyDescent="0.2">
      <c r="A390" s="27" t="s">
        <v>93</v>
      </c>
      <c r="B390" s="83">
        <v>64774.279500000004</v>
      </c>
      <c r="C390" s="45">
        <v>1</v>
      </c>
      <c r="D390" s="25" t="s">
        <v>85</v>
      </c>
      <c r="E390" s="261">
        <v>0</v>
      </c>
      <c r="F390" s="168">
        <f t="shared" si="5"/>
        <v>64774.279500000004</v>
      </c>
    </row>
    <row r="391" spans="1:7" x14ac:dyDescent="0.2">
      <c r="A391" s="27"/>
      <c r="B391" s="44"/>
      <c r="C391" s="45"/>
      <c r="D391" s="25"/>
      <c r="E391" s="261"/>
      <c r="F391" s="168"/>
    </row>
    <row r="392" spans="1:7" ht="15" thickBot="1" x14ac:dyDescent="0.25">
      <c r="A392" s="20"/>
      <c r="B392" s="39"/>
      <c r="C392" s="38"/>
      <c r="D392" s="21"/>
      <c r="E392" s="259"/>
      <c r="F392" s="166"/>
    </row>
    <row r="393" spans="1:7" ht="15" x14ac:dyDescent="0.25">
      <c r="A393" s="28" t="s">
        <v>116</v>
      </c>
      <c r="B393" s="49"/>
      <c r="C393" s="50"/>
      <c r="D393" s="29"/>
      <c r="E393" s="262"/>
      <c r="F393" s="164"/>
    </row>
    <row r="394" spans="1:7" x14ac:dyDescent="0.2">
      <c r="A394" s="27" t="s">
        <v>92</v>
      </c>
      <c r="B394" s="83">
        <v>16193.569875000001</v>
      </c>
      <c r="C394" s="45">
        <v>1</v>
      </c>
      <c r="D394" s="25" t="s">
        <v>85</v>
      </c>
      <c r="E394" s="261">
        <v>0</v>
      </c>
      <c r="F394" s="168">
        <f t="shared" ref="F394" si="6">+B394*C394*(1+E394)</f>
        <v>16193.569875000001</v>
      </c>
    </row>
    <row r="395" spans="1:7" ht="15" thickBot="1" x14ac:dyDescent="0.25">
      <c r="A395" s="20"/>
      <c r="B395" s="39"/>
      <c r="C395" s="38"/>
      <c r="D395" s="21"/>
      <c r="E395" s="259"/>
      <c r="F395" s="166"/>
    </row>
    <row r="396" spans="1:7" ht="15" x14ac:dyDescent="0.25">
      <c r="A396" s="24" t="s">
        <v>70</v>
      </c>
      <c r="B396" s="44"/>
      <c r="C396" s="45"/>
      <c r="D396" s="25"/>
      <c r="E396" s="261"/>
      <c r="F396" s="168"/>
    </row>
    <row r="397" spans="1:7" x14ac:dyDescent="0.2">
      <c r="A397" s="27" t="s">
        <v>70</v>
      </c>
      <c r="B397" s="44">
        <v>9198.3962499999998</v>
      </c>
      <c r="C397" s="45">
        <v>16</v>
      </c>
      <c r="D397" s="25" t="s">
        <v>83</v>
      </c>
      <c r="E397" s="261">
        <v>0</v>
      </c>
      <c r="F397" s="168">
        <f>+B397*C397*(1+E397)</f>
        <v>147174.34</v>
      </c>
    </row>
    <row r="398" spans="1:7" ht="15" thickBot="1" x14ac:dyDescent="0.25">
      <c r="A398" s="27"/>
      <c r="B398" s="44"/>
      <c r="C398" s="45"/>
      <c r="D398" s="25"/>
      <c r="E398" s="261"/>
      <c r="F398" s="168"/>
    </row>
    <row r="399" spans="1:7" ht="15.75" thickBot="1" x14ac:dyDescent="0.3">
      <c r="A399" s="30"/>
      <c r="B399" s="52"/>
      <c r="C399" s="53"/>
      <c r="D399" s="31"/>
      <c r="E399" s="263" t="s">
        <v>241</v>
      </c>
      <c r="F399" s="169">
        <f>SUM(F386:F397)</f>
        <v>627013.58687500004</v>
      </c>
    </row>
    <row r="401" spans="1:14" ht="15" thickBot="1" x14ac:dyDescent="0.25"/>
    <row r="402" spans="1:14" x14ac:dyDescent="0.2">
      <c r="A402" s="16" t="s">
        <v>250</v>
      </c>
      <c r="B402" s="33"/>
      <c r="C402" s="34"/>
      <c r="D402" s="17"/>
      <c r="E402" s="257"/>
      <c r="F402" s="164"/>
    </row>
    <row r="403" spans="1:14" x14ac:dyDescent="0.2">
      <c r="A403" s="90" t="s">
        <v>383</v>
      </c>
      <c r="B403" s="91"/>
      <c r="C403" s="92"/>
      <c r="D403" s="91" t="s">
        <v>233</v>
      </c>
      <c r="E403" s="264" t="s">
        <v>75</v>
      </c>
      <c r="F403" s="170"/>
      <c r="H403" s="15">
        <f>+'PRESUPUESTO RESUMEN'!S25</f>
        <v>13.64</v>
      </c>
    </row>
    <row r="404" spans="1:14" ht="15" thickBot="1" x14ac:dyDescent="0.25">
      <c r="A404" s="20"/>
      <c r="B404" s="37"/>
      <c r="C404" s="38"/>
      <c r="D404" s="21"/>
      <c r="E404" s="259"/>
      <c r="F404" s="166"/>
    </row>
    <row r="405" spans="1:14" ht="15" thickBot="1" x14ac:dyDescent="0.25">
      <c r="A405" s="22" t="s">
        <v>234</v>
      </c>
      <c r="B405" s="41" t="s">
        <v>235</v>
      </c>
      <c r="C405" s="42" t="s">
        <v>236</v>
      </c>
      <c r="D405" s="23" t="s">
        <v>237</v>
      </c>
      <c r="E405" s="260" t="s">
        <v>67</v>
      </c>
      <c r="F405" s="167" t="s">
        <v>238</v>
      </c>
    </row>
    <row r="406" spans="1:14" ht="15.75" thickTop="1" x14ac:dyDescent="0.25">
      <c r="A406" s="24" t="s">
        <v>239</v>
      </c>
      <c r="B406" s="44"/>
      <c r="C406" s="45"/>
      <c r="D406" s="25"/>
      <c r="E406" s="261"/>
      <c r="F406" s="168"/>
      <c r="M406" s="15">
        <v>0.12</v>
      </c>
      <c r="N406" s="15">
        <f>+'PRESUPUESTO RESUMEN'!V25/2</f>
        <v>6.48</v>
      </c>
    </row>
    <row r="407" spans="1:14" x14ac:dyDescent="0.2">
      <c r="A407" s="27" t="s">
        <v>97</v>
      </c>
      <c r="B407" s="44">
        <v>308448.95</v>
      </c>
      <c r="C407" s="385">
        <v>0.21</v>
      </c>
      <c r="D407" s="25" t="s">
        <v>86</v>
      </c>
      <c r="E407" s="261">
        <v>0.05</v>
      </c>
      <c r="F407" s="168">
        <f>+B407*C407*(1+E407)</f>
        <v>68012.993474999996</v>
      </c>
      <c r="I407" s="386">
        <f>+H403*F407</f>
        <v>927697.23099900002</v>
      </c>
      <c r="J407" s="15">
        <f>0.18*0.28*0.5</f>
        <v>2.52E-2</v>
      </c>
      <c r="K407" s="15">
        <f>+M406*2.7*2.3</f>
        <v>0.74519999999999997</v>
      </c>
      <c r="L407" s="15">
        <f>+J407*9*2.7</f>
        <v>0.61236000000000002</v>
      </c>
      <c r="M407" s="15">
        <f>+L407+K407</f>
        <v>1.3575599999999999</v>
      </c>
      <c r="N407" s="15">
        <f>+M407/N406</f>
        <v>0.20949999999999996</v>
      </c>
    </row>
    <row r="408" spans="1:14" ht="15" thickBot="1" x14ac:dyDescent="0.25">
      <c r="A408" s="20"/>
      <c r="B408" s="39"/>
      <c r="C408" s="38"/>
      <c r="D408" s="21"/>
      <c r="E408" s="259"/>
      <c r="F408" s="166"/>
      <c r="G408" s="55">
        <f>SUM(F406:F407)</f>
        <v>68012.993474999996</v>
      </c>
      <c r="I408" s="386"/>
    </row>
    <row r="409" spans="1:14" ht="15" x14ac:dyDescent="0.25">
      <c r="A409" s="28" t="s">
        <v>240</v>
      </c>
      <c r="B409" s="49"/>
      <c r="C409" s="50"/>
      <c r="D409" s="29"/>
      <c r="E409" s="262"/>
      <c r="F409" s="164"/>
      <c r="I409" s="386"/>
    </row>
    <row r="410" spans="1:14" x14ac:dyDescent="0.2">
      <c r="A410" s="27" t="s">
        <v>91</v>
      </c>
      <c r="B410" s="44">
        <v>75000</v>
      </c>
      <c r="C410" s="364">
        <v>0.3</v>
      </c>
      <c r="D410" s="25" t="s">
        <v>85</v>
      </c>
      <c r="E410" s="261">
        <v>0</v>
      </c>
      <c r="F410" s="168">
        <f>+B410*C410*(1+E410)</f>
        <v>22500</v>
      </c>
      <c r="I410" s="386">
        <f>+$H$403*F410</f>
        <v>306900</v>
      </c>
    </row>
    <row r="411" spans="1:14" x14ac:dyDescent="0.2">
      <c r="A411" s="27" t="s">
        <v>93</v>
      </c>
      <c r="B411" s="83">
        <v>16193.569875000001</v>
      </c>
      <c r="C411" s="45">
        <v>1</v>
      </c>
      <c r="D411" s="25" t="s">
        <v>85</v>
      </c>
      <c r="E411" s="261">
        <v>0</v>
      </c>
      <c r="F411" s="168">
        <f>+B411*C411*(1+E411)</f>
        <v>16193.569875000001</v>
      </c>
      <c r="I411" s="386">
        <f>+$H$403*F411</f>
        <v>220880.29309500003</v>
      </c>
    </row>
    <row r="412" spans="1:14" x14ac:dyDescent="0.2">
      <c r="A412" s="27"/>
      <c r="B412" s="44"/>
      <c r="C412" s="45"/>
      <c r="D412" s="25"/>
      <c r="E412" s="261"/>
      <c r="F412" s="168"/>
      <c r="I412" s="386"/>
    </row>
    <row r="413" spans="1:14" ht="15" thickBot="1" x14ac:dyDescent="0.25">
      <c r="A413" s="20"/>
      <c r="B413" s="39"/>
      <c r="C413" s="38"/>
      <c r="D413" s="21"/>
      <c r="E413" s="259"/>
      <c r="F413" s="166"/>
      <c r="I413" s="386"/>
    </row>
    <row r="414" spans="1:14" ht="15" x14ac:dyDescent="0.25">
      <c r="A414" s="28" t="s">
        <v>116</v>
      </c>
      <c r="B414" s="49"/>
      <c r="C414" s="50"/>
      <c r="D414" s="29"/>
      <c r="E414" s="262"/>
      <c r="F414" s="164"/>
      <c r="I414" s="386"/>
    </row>
    <row r="415" spans="1:14" x14ac:dyDescent="0.2">
      <c r="A415" s="27" t="s">
        <v>92</v>
      </c>
      <c r="B415" s="83">
        <v>9716.1419249999999</v>
      </c>
      <c r="C415" s="45">
        <v>1</v>
      </c>
      <c r="D415" s="25" t="s">
        <v>85</v>
      </c>
      <c r="E415" s="261">
        <v>0</v>
      </c>
      <c r="F415" s="168">
        <f>+B415*C415*(1+E415)</f>
        <v>9716.1419249999999</v>
      </c>
      <c r="I415" s="386">
        <f>+$H$403*F415</f>
        <v>132528.17585699999</v>
      </c>
    </row>
    <row r="416" spans="1:14" ht="15" thickBot="1" x14ac:dyDescent="0.25">
      <c r="A416" s="20"/>
      <c r="B416" s="39"/>
      <c r="C416" s="38"/>
      <c r="D416" s="21"/>
      <c r="E416" s="259"/>
      <c r="F416" s="166"/>
      <c r="I416" s="386"/>
    </row>
    <row r="417" spans="1:9" ht="15" x14ac:dyDescent="0.25">
      <c r="A417" s="24" t="s">
        <v>70</v>
      </c>
      <c r="B417" s="44"/>
      <c r="C417" s="45"/>
      <c r="D417" s="25"/>
      <c r="E417" s="261"/>
      <c r="F417" s="168"/>
      <c r="I417" s="386"/>
    </row>
    <row r="418" spans="1:9" x14ac:dyDescent="0.2">
      <c r="A418" s="27" t="s">
        <v>70</v>
      </c>
      <c r="B418" s="44">
        <v>9198.3962499999998</v>
      </c>
      <c r="C418" s="45">
        <v>4</v>
      </c>
      <c r="D418" s="25" t="s">
        <v>83</v>
      </c>
      <c r="E418" s="261">
        <v>0</v>
      </c>
      <c r="F418" s="168">
        <f>+B418*C418*(1+E418)</f>
        <v>36793.584999999999</v>
      </c>
      <c r="I418" s="386">
        <f>+$H$403*F418</f>
        <v>501864.49940000003</v>
      </c>
    </row>
    <row r="419" spans="1:9" ht="15" thickBot="1" x14ac:dyDescent="0.25">
      <c r="A419" s="27"/>
      <c r="B419" s="44"/>
      <c r="C419" s="45"/>
      <c r="D419" s="25"/>
      <c r="E419" s="261"/>
      <c r="F419" s="168"/>
      <c r="I419" s="386"/>
    </row>
    <row r="420" spans="1:9" ht="15.75" thickBot="1" x14ac:dyDescent="0.3">
      <c r="A420" s="30"/>
      <c r="B420" s="52"/>
      <c r="C420" s="53"/>
      <c r="D420" s="31"/>
      <c r="E420" s="263" t="s">
        <v>241</v>
      </c>
      <c r="F420" s="169">
        <f>SUM(F407:F418)</f>
        <v>153216.29027500001</v>
      </c>
      <c r="H420" s="15">
        <f>+I420/H403</f>
        <v>153216.29027500001</v>
      </c>
      <c r="I420" s="386">
        <f>SUM(I406:I419)</f>
        <v>2089870.1993510001</v>
      </c>
    </row>
    <row r="421" spans="1:9" x14ac:dyDescent="0.2">
      <c r="I421" s="386"/>
    </row>
    <row r="422" spans="1:9" x14ac:dyDescent="0.2">
      <c r="I422" s="386"/>
    </row>
    <row r="423" spans="1:9" ht="15" thickBot="1" x14ac:dyDescent="0.25">
      <c r="I423" s="386"/>
    </row>
    <row r="424" spans="1:9" x14ac:dyDescent="0.2">
      <c r="A424" s="16" t="s">
        <v>250</v>
      </c>
      <c r="B424" s="33"/>
      <c r="C424" s="34"/>
      <c r="D424" s="17"/>
      <c r="E424" s="257"/>
      <c r="F424" s="164"/>
      <c r="I424" s="386"/>
    </row>
    <row r="425" spans="1:9" x14ac:dyDescent="0.2">
      <c r="A425" s="90" t="s">
        <v>557</v>
      </c>
      <c r="B425" s="91"/>
      <c r="C425" s="92"/>
      <c r="D425" s="91" t="s">
        <v>233</v>
      </c>
      <c r="E425" s="264" t="s">
        <v>71</v>
      </c>
      <c r="F425" s="170"/>
      <c r="I425" s="386"/>
    </row>
    <row r="426" spans="1:9" ht="15" thickBot="1" x14ac:dyDescent="0.25">
      <c r="A426" s="20"/>
      <c r="B426" s="37"/>
      <c r="C426" s="38"/>
      <c r="D426" s="21"/>
      <c r="E426" s="259"/>
      <c r="F426" s="166"/>
      <c r="I426" s="386"/>
    </row>
    <row r="427" spans="1:9" ht="15" thickBot="1" x14ac:dyDescent="0.25">
      <c r="A427" s="22" t="s">
        <v>234</v>
      </c>
      <c r="B427" s="41" t="s">
        <v>235</v>
      </c>
      <c r="C427" s="42" t="s">
        <v>236</v>
      </c>
      <c r="D427" s="23" t="s">
        <v>237</v>
      </c>
      <c r="E427" s="260" t="s">
        <v>67</v>
      </c>
      <c r="F427" s="167" t="s">
        <v>238</v>
      </c>
      <c r="I427" s="386"/>
    </row>
    <row r="428" spans="1:9" ht="15.75" thickTop="1" x14ac:dyDescent="0.25">
      <c r="A428" s="24" t="s">
        <v>239</v>
      </c>
      <c r="B428" s="44"/>
      <c r="C428" s="45"/>
      <c r="D428" s="25"/>
      <c r="E428" s="261"/>
      <c r="F428" s="168"/>
      <c r="I428" s="386"/>
    </row>
    <row r="429" spans="1:9" x14ac:dyDescent="0.2">
      <c r="A429" s="27" t="s">
        <v>97</v>
      </c>
      <c r="B429" s="44">
        <v>308448.95</v>
      </c>
      <c r="C429" s="47">
        <v>1</v>
      </c>
      <c r="D429" s="25" t="s">
        <v>69</v>
      </c>
      <c r="E429" s="261">
        <v>0.05</v>
      </c>
      <c r="F429" s="168">
        <f>+B429*C429*(1+E429)</f>
        <v>323871.39750000002</v>
      </c>
      <c r="I429" s="386"/>
    </row>
    <row r="430" spans="1:9" ht="15" thickBot="1" x14ac:dyDescent="0.25">
      <c r="A430" s="20"/>
      <c r="B430" s="39"/>
      <c r="C430" s="38"/>
      <c r="D430" s="21"/>
      <c r="E430" s="259"/>
      <c r="F430" s="166"/>
      <c r="G430" s="55">
        <f>SUM(F429)</f>
        <v>323871.39750000002</v>
      </c>
      <c r="I430" s="386"/>
    </row>
    <row r="431" spans="1:9" ht="15" x14ac:dyDescent="0.25">
      <c r="A431" s="28" t="s">
        <v>240</v>
      </c>
      <c r="B431" s="49"/>
      <c r="C431" s="50"/>
      <c r="D431" s="29"/>
      <c r="E431" s="262"/>
      <c r="F431" s="164"/>
      <c r="I431" s="386"/>
    </row>
    <row r="432" spans="1:9" x14ac:dyDescent="0.2">
      <c r="A432" s="27" t="s">
        <v>91</v>
      </c>
      <c r="B432" s="44">
        <v>80000</v>
      </c>
      <c r="C432" s="45">
        <v>1</v>
      </c>
      <c r="D432" s="25" t="s">
        <v>69</v>
      </c>
      <c r="E432" s="261">
        <v>0</v>
      </c>
      <c r="F432" s="168">
        <f>+B432*C432*(1+E432)</f>
        <v>80000</v>
      </c>
      <c r="I432" s="386"/>
    </row>
    <row r="433" spans="1:9" x14ac:dyDescent="0.2">
      <c r="A433" s="27" t="s">
        <v>93</v>
      </c>
      <c r="B433" s="83">
        <v>64774.279500000004</v>
      </c>
      <c r="C433" s="45">
        <v>1</v>
      </c>
      <c r="D433" s="25" t="s">
        <v>69</v>
      </c>
      <c r="E433" s="261">
        <v>0</v>
      </c>
      <c r="F433" s="168">
        <f t="shared" ref="F433" si="7">+B433*C433*(1+E433)</f>
        <v>64774.279500000004</v>
      </c>
      <c r="I433" s="386"/>
    </row>
    <row r="434" spans="1:9" x14ac:dyDescent="0.2">
      <c r="A434" s="27"/>
      <c r="B434" s="44"/>
      <c r="C434" s="45"/>
      <c r="D434" s="25"/>
      <c r="E434" s="261"/>
      <c r="F434" s="168"/>
      <c r="I434" s="386"/>
    </row>
    <row r="435" spans="1:9" ht="15" thickBot="1" x14ac:dyDescent="0.25">
      <c r="A435" s="20"/>
      <c r="B435" s="39"/>
      <c r="C435" s="38"/>
      <c r="D435" s="21"/>
      <c r="E435" s="259"/>
      <c r="F435" s="166"/>
      <c r="I435" s="386"/>
    </row>
    <row r="436" spans="1:9" ht="15" x14ac:dyDescent="0.25">
      <c r="A436" s="28" t="s">
        <v>116</v>
      </c>
      <c r="B436" s="49"/>
      <c r="C436" s="50"/>
      <c r="D436" s="29"/>
      <c r="E436" s="262"/>
      <c r="F436" s="164"/>
    </row>
    <row r="437" spans="1:9" x14ac:dyDescent="0.2">
      <c r="A437" s="27" t="s">
        <v>92</v>
      </c>
      <c r="B437" s="83">
        <v>16193.569875000001</v>
      </c>
      <c r="C437" s="45">
        <v>1</v>
      </c>
      <c r="D437" s="25" t="s">
        <v>69</v>
      </c>
      <c r="E437" s="261">
        <v>0</v>
      </c>
      <c r="F437" s="168">
        <f t="shared" ref="F437" si="8">+B437*C437*(1+E437)</f>
        <v>16193.569875000001</v>
      </c>
    </row>
    <row r="438" spans="1:9" ht="15" thickBot="1" x14ac:dyDescent="0.25">
      <c r="A438" s="20"/>
      <c r="B438" s="39"/>
      <c r="C438" s="38"/>
      <c r="D438" s="21"/>
      <c r="E438" s="259"/>
      <c r="F438" s="166"/>
    </row>
    <row r="439" spans="1:9" ht="15" x14ac:dyDescent="0.25">
      <c r="A439" s="24" t="s">
        <v>70</v>
      </c>
      <c r="B439" s="44"/>
      <c r="C439" s="45"/>
      <c r="D439" s="25"/>
      <c r="E439" s="261"/>
      <c r="F439" s="168"/>
    </row>
    <row r="440" spans="1:9" x14ac:dyDescent="0.2">
      <c r="A440" s="27" t="s">
        <v>70</v>
      </c>
      <c r="B440" s="44">
        <v>9198.3962499999998</v>
      </c>
      <c r="C440" s="45">
        <v>15</v>
      </c>
      <c r="D440" s="25" t="s">
        <v>77</v>
      </c>
      <c r="E440" s="261">
        <v>0</v>
      </c>
      <c r="F440" s="168">
        <f>+B440*C440*(1+E440)</f>
        <v>137975.94375000001</v>
      </c>
    </row>
    <row r="441" spans="1:9" ht="15" thickBot="1" x14ac:dyDescent="0.25">
      <c r="A441" s="27"/>
      <c r="B441" s="44"/>
      <c r="C441" s="45"/>
      <c r="D441" s="25"/>
      <c r="E441" s="261"/>
      <c r="F441" s="168"/>
    </row>
    <row r="442" spans="1:9" ht="15.75" thickBot="1" x14ac:dyDescent="0.3">
      <c r="A442" s="30"/>
      <c r="B442" s="52"/>
      <c r="C442" s="53"/>
      <c r="D442" s="31"/>
      <c r="E442" s="263" t="s">
        <v>241</v>
      </c>
      <c r="F442" s="169">
        <f>SUM(F429:F440)</f>
        <v>622815.19062500005</v>
      </c>
    </row>
    <row r="448" spans="1:9" ht="15" thickBot="1" x14ac:dyDescent="0.25"/>
    <row r="449" spans="1:7" x14ac:dyDescent="0.2">
      <c r="A449" s="16" t="s">
        <v>254</v>
      </c>
      <c r="B449" s="33"/>
      <c r="C449" s="34"/>
      <c r="D449" s="17"/>
      <c r="E449" s="257"/>
      <c r="F449" s="164"/>
    </row>
    <row r="450" spans="1:7" ht="25.5" x14ac:dyDescent="0.2">
      <c r="A450" s="90" t="s">
        <v>559</v>
      </c>
      <c r="B450" s="91"/>
      <c r="C450" s="92"/>
      <c r="D450" s="91" t="s">
        <v>233</v>
      </c>
      <c r="E450" s="264" t="s">
        <v>173</v>
      </c>
      <c r="F450" s="170"/>
    </row>
    <row r="451" spans="1:7" ht="15" thickBot="1" x14ac:dyDescent="0.25">
      <c r="A451" s="20"/>
      <c r="B451" s="37"/>
      <c r="C451" s="38"/>
      <c r="D451" s="21"/>
      <c r="E451" s="259"/>
      <c r="F451" s="166"/>
    </row>
    <row r="452" spans="1:7" ht="15" thickBot="1" x14ac:dyDescent="0.25">
      <c r="A452" s="22" t="s">
        <v>234</v>
      </c>
      <c r="B452" s="41" t="s">
        <v>235</v>
      </c>
      <c r="C452" s="42" t="s">
        <v>236</v>
      </c>
      <c r="D452" s="23" t="s">
        <v>237</v>
      </c>
      <c r="E452" s="260" t="s">
        <v>67</v>
      </c>
      <c r="F452" s="167" t="s">
        <v>238</v>
      </c>
    </row>
    <row r="453" spans="1:7" ht="15.75" thickTop="1" x14ac:dyDescent="0.25">
      <c r="A453" s="24" t="s">
        <v>239</v>
      </c>
      <c r="B453" s="44"/>
      <c r="C453" s="45"/>
      <c r="D453" s="25"/>
      <c r="E453" s="261"/>
      <c r="F453" s="168"/>
    </row>
    <row r="454" spans="1:7" ht="28.5" x14ac:dyDescent="0.2">
      <c r="A454" s="27" t="s">
        <v>558</v>
      </c>
      <c r="B454" s="44">
        <f>55000*1.19</f>
        <v>65450</v>
      </c>
      <c r="C454" s="47">
        <v>2.1000000000000001E-2</v>
      </c>
      <c r="D454" s="25" t="s">
        <v>174</v>
      </c>
      <c r="E454" s="261">
        <v>0.05</v>
      </c>
      <c r="F454" s="168">
        <f>B454*C454*(1+E454)</f>
        <v>1443.1725000000001</v>
      </c>
    </row>
    <row r="455" spans="1:7" x14ac:dyDescent="0.2">
      <c r="A455" s="27" t="s">
        <v>175</v>
      </c>
      <c r="B455" s="44">
        <v>4785</v>
      </c>
      <c r="C455" s="45">
        <v>0.05</v>
      </c>
      <c r="D455" s="25" t="s">
        <v>176</v>
      </c>
      <c r="E455" s="261">
        <v>0</v>
      </c>
      <c r="F455" s="168">
        <f>+B455*C455*(1+E455)</f>
        <v>239.25</v>
      </c>
    </row>
    <row r="456" spans="1:7" ht="15" thickBot="1" x14ac:dyDescent="0.25">
      <c r="A456" s="20"/>
      <c r="B456" s="39"/>
      <c r="C456" s="38"/>
      <c r="D456" s="21"/>
      <c r="E456" s="259"/>
      <c r="F456" s="166"/>
      <c r="G456" s="55">
        <f>SUM(F453:F455)</f>
        <v>1682.4225000000001</v>
      </c>
    </row>
    <row r="457" spans="1:7" ht="15" x14ac:dyDescent="0.25">
      <c r="A457" s="28" t="s">
        <v>240</v>
      </c>
      <c r="B457" s="49"/>
      <c r="C457" s="50"/>
      <c r="D457" s="29"/>
      <c r="E457" s="262"/>
      <c r="F457" s="164"/>
    </row>
    <row r="458" spans="1:7" x14ac:dyDescent="0.2">
      <c r="A458" s="27" t="s">
        <v>93</v>
      </c>
      <c r="B458" s="44">
        <v>291</v>
      </c>
      <c r="C458" s="45">
        <v>1</v>
      </c>
      <c r="D458" s="25" t="s">
        <v>176</v>
      </c>
      <c r="E458" s="261">
        <v>0</v>
      </c>
      <c r="F458" s="168">
        <v>291</v>
      </c>
    </row>
    <row r="459" spans="1:7" x14ac:dyDescent="0.2">
      <c r="A459" s="27"/>
      <c r="B459" s="44"/>
      <c r="C459" s="45"/>
      <c r="D459" s="25"/>
      <c r="E459" s="261"/>
      <c r="F459" s="168"/>
    </row>
    <row r="460" spans="1:7" ht="15" thickBot="1" x14ac:dyDescent="0.25">
      <c r="A460" s="20"/>
      <c r="B460" s="39"/>
      <c r="C460" s="38"/>
      <c r="D460" s="21"/>
      <c r="E460" s="259"/>
      <c r="F460" s="166"/>
    </row>
    <row r="461" spans="1:7" ht="15" x14ac:dyDescent="0.25">
      <c r="A461" s="28" t="s">
        <v>116</v>
      </c>
      <c r="B461" s="49"/>
      <c r="C461" s="50"/>
      <c r="D461" s="29"/>
      <c r="E461" s="262"/>
      <c r="F461" s="164"/>
    </row>
    <row r="462" spans="1:7" x14ac:dyDescent="0.2">
      <c r="A462" s="27" t="s">
        <v>92</v>
      </c>
      <c r="B462" s="44">
        <v>175</v>
      </c>
      <c r="C462" s="45">
        <v>1</v>
      </c>
      <c r="D462" s="25" t="s">
        <v>176</v>
      </c>
      <c r="E462" s="261">
        <v>0</v>
      </c>
      <c r="F462" s="168">
        <f>+B462*C462*(1+E462)</f>
        <v>175</v>
      </c>
    </row>
    <row r="463" spans="1:7" ht="15" thickBot="1" x14ac:dyDescent="0.25">
      <c r="A463" s="20"/>
      <c r="B463" s="39"/>
      <c r="C463" s="38"/>
      <c r="D463" s="21"/>
      <c r="E463" s="259"/>
      <c r="F463" s="166"/>
    </row>
    <row r="464" spans="1:7" ht="15" x14ac:dyDescent="0.25">
      <c r="A464" s="24" t="s">
        <v>70</v>
      </c>
      <c r="B464" s="44"/>
      <c r="C464" s="45"/>
      <c r="D464" s="25"/>
      <c r="E464" s="261"/>
      <c r="F464" s="168"/>
    </row>
    <row r="465" spans="1:7" x14ac:dyDescent="0.2">
      <c r="A465" s="27" t="s">
        <v>70</v>
      </c>
      <c r="B465" s="44">
        <v>9198.3962499999998</v>
      </c>
      <c r="C465" s="45">
        <v>0.14000000000000001</v>
      </c>
      <c r="D465" s="25" t="s">
        <v>177</v>
      </c>
      <c r="E465" s="261">
        <v>0</v>
      </c>
      <c r="F465" s="168">
        <f>+B465*C465*(1+E465)</f>
        <v>1287.7754750000001</v>
      </c>
    </row>
    <row r="466" spans="1:7" ht="15" thickBot="1" x14ac:dyDescent="0.25">
      <c r="A466" s="27"/>
      <c r="B466" s="44"/>
      <c r="C466" s="45"/>
      <c r="D466" s="25"/>
      <c r="E466" s="261"/>
      <c r="F466" s="168"/>
    </row>
    <row r="467" spans="1:7" ht="15.75" thickBot="1" x14ac:dyDescent="0.3">
      <c r="A467" s="30"/>
      <c r="B467" s="52"/>
      <c r="C467" s="53"/>
      <c r="D467" s="31"/>
      <c r="E467" s="263" t="s">
        <v>241</v>
      </c>
      <c r="F467" s="169">
        <f>SUM(F454:F465)</f>
        <v>3436.197975</v>
      </c>
    </row>
    <row r="469" spans="1:7" ht="15" thickBot="1" x14ac:dyDescent="0.25"/>
    <row r="470" spans="1:7" x14ac:dyDescent="0.2">
      <c r="A470" s="16" t="s">
        <v>254</v>
      </c>
      <c r="B470" s="33"/>
      <c r="C470" s="34"/>
      <c r="D470" s="17"/>
      <c r="E470" s="257"/>
      <c r="F470" s="164"/>
    </row>
    <row r="471" spans="1:7" ht="25.5" x14ac:dyDescent="0.2">
      <c r="A471" s="90" t="s">
        <v>255</v>
      </c>
      <c r="B471" s="91"/>
      <c r="C471" s="92"/>
      <c r="D471" s="91" t="s">
        <v>233</v>
      </c>
      <c r="E471" s="264" t="s">
        <v>173</v>
      </c>
      <c r="F471" s="170"/>
    </row>
    <row r="472" spans="1:7" ht="15" thickBot="1" x14ac:dyDescent="0.25">
      <c r="A472" s="20"/>
      <c r="B472" s="37"/>
      <c r="C472" s="38"/>
      <c r="D472" s="21"/>
      <c r="E472" s="259"/>
      <c r="F472" s="166"/>
    </row>
    <row r="473" spans="1:7" ht="15" thickBot="1" x14ac:dyDescent="0.25">
      <c r="A473" s="22" t="s">
        <v>234</v>
      </c>
      <c r="B473" s="41" t="s">
        <v>235</v>
      </c>
      <c r="C473" s="42" t="s">
        <v>236</v>
      </c>
      <c r="D473" s="23" t="s">
        <v>237</v>
      </c>
      <c r="E473" s="260" t="s">
        <v>67</v>
      </c>
      <c r="F473" s="167" t="s">
        <v>238</v>
      </c>
    </row>
    <row r="474" spans="1:7" ht="15.75" thickTop="1" x14ac:dyDescent="0.25">
      <c r="A474" s="24" t="s">
        <v>239</v>
      </c>
      <c r="B474" s="44"/>
      <c r="C474" s="45"/>
      <c r="D474" s="25"/>
      <c r="E474" s="261"/>
      <c r="F474" s="168"/>
    </row>
    <row r="475" spans="1:7" ht="28.5" x14ac:dyDescent="0.2">
      <c r="A475" s="27" t="s">
        <v>18</v>
      </c>
      <c r="B475" s="44">
        <v>2500</v>
      </c>
      <c r="C475" s="47">
        <v>1</v>
      </c>
      <c r="D475" s="25" t="s">
        <v>176</v>
      </c>
      <c r="E475" s="261">
        <v>0.03</v>
      </c>
      <c r="F475" s="168">
        <f>+B475*C475*(1+E475)</f>
        <v>2575</v>
      </c>
    </row>
    <row r="476" spans="1:7" x14ac:dyDescent="0.2">
      <c r="A476" s="27" t="s">
        <v>175</v>
      </c>
      <c r="B476" s="44">
        <v>4785</v>
      </c>
      <c r="C476" s="45">
        <v>0.04</v>
      </c>
      <c r="D476" s="25" t="s">
        <v>176</v>
      </c>
      <c r="E476" s="261">
        <v>0</v>
      </c>
      <c r="F476" s="168">
        <f>+B476*C476*(1+E476)</f>
        <v>191.4</v>
      </c>
    </row>
    <row r="477" spans="1:7" ht="15" thickBot="1" x14ac:dyDescent="0.25">
      <c r="A477" s="20"/>
      <c r="B477" s="39"/>
      <c r="C477" s="38"/>
      <c r="D477" s="21"/>
      <c r="E477" s="259"/>
      <c r="F477" s="166"/>
      <c r="G477" s="55">
        <f>SUM(F474:F476)</f>
        <v>2766.4</v>
      </c>
    </row>
    <row r="478" spans="1:7" ht="15" x14ac:dyDescent="0.25">
      <c r="A478" s="28" t="s">
        <v>240</v>
      </c>
      <c r="B478" s="49"/>
      <c r="C478" s="50"/>
      <c r="D478" s="29"/>
      <c r="E478" s="262"/>
      <c r="F478" s="164"/>
    </row>
    <row r="479" spans="1:7" x14ac:dyDescent="0.2">
      <c r="A479" s="27" t="s">
        <v>93</v>
      </c>
      <c r="B479" s="44">
        <v>185</v>
      </c>
      <c r="C479" s="45">
        <v>1</v>
      </c>
      <c r="D479" s="25" t="s">
        <v>176</v>
      </c>
      <c r="E479" s="261">
        <v>0</v>
      </c>
      <c r="F479" s="168">
        <f>+B479*C479*(1+E479)</f>
        <v>185</v>
      </c>
    </row>
    <row r="480" spans="1:7" x14ac:dyDescent="0.2">
      <c r="A480" s="27"/>
      <c r="B480" s="44"/>
      <c r="C480" s="45"/>
      <c r="D480" s="25"/>
      <c r="E480" s="261"/>
      <c r="F480" s="168"/>
    </row>
    <row r="481" spans="1:6" ht="15" thickBot="1" x14ac:dyDescent="0.25">
      <c r="A481" s="20"/>
      <c r="B481" s="39"/>
      <c r="C481" s="38"/>
      <c r="D481" s="21"/>
      <c r="E481" s="259"/>
      <c r="F481" s="166"/>
    </row>
    <row r="482" spans="1:6" ht="15" x14ac:dyDescent="0.25">
      <c r="A482" s="28" t="s">
        <v>116</v>
      </c>
      <c r="B482" s="49"/>
      <c r="C482" s="50"/>
      <c r="D482" s="29"/>
      <c r="E482" s="262"/>
      <c r="F482" s="164"/>
    </row>
    <row r="483" spans="1:6" x14ac:dyDescent="0.2">
      <c r="A483" s="27" t="s">
        <v>92</v>
      </c>
      <c r="B483" s="44">
        <v>111</v>
      </c>
      <c r="C483" s="45">
        <v>1</v>
      </c>
      <c r="D483" s="25" t="s">
        <v>176</v>
      </c>
      <c r="E483" s="261">
        <v>0</v>
      </c>
      <c r="F483" s="168">
        <f>+B483*C483*(1+E483)</f>
        <v>111</v>
      </c>
    </row>
    <row r="484" spans="1:6" ht="15" thickBot="1" x14ac:dyDescent="0.25">
      <c r="A484" s="20"/>
      <c r="B484" s="39"/>
      <c r="C484" s="38"/>
      <c r="D484" s="21"/>
      <c r="E484" s="259"/>
      <c r="F484" s="166"/>
    </row>
    <row r="485" spans="1:6" ht="15" x14ac:dyDescent="0.25">
      <c r="A485" s="24" t="s">
        <v>70</v>
      </c>
      <c r="B485" s="44"/>
      <c r="C485" s="45"/>
      <c r="D485" s="25"/>
      <c r="E485" s="261"/>
      <c r="F485" s="168"/>
    </row>
    <row r="486" spans="1:6" x14ac:dyDescent="0.2">
      <c r="A486" s="27" t="s">
        <v>70</v>
      </c>
      <c r="B486" s="44">
        <v>9198.3962499999998</v>
      </c>
      <c r="C486" s="45">
        <v>0.1</v>
      </c>
      <c r="D486" s="25" t="s">
        <v>177</v>
      </c>
      <c r="E486" s="261">
        <v>0</v>
      </c>
      <c r="F486" s="168">
        <f>+B486*C486*(1+E486)</f>
        <v>919.83962500000007</v>
      </c>
    </row>
    <row r="487" spans="1:6" ht="15" thickBot="1" x14ac:dyDescent="0.25">
      <c r="A487" s="27"/>
      <c r="B487" s="44"/>
      <c r="C487" s="45"/>
      <c r="D487" s="25"/>
      <c r="E487" s="261"/>
      <c r="F487" s="168"/>
    </row>
    <row r="488" spans="1:6" ht="15.75" thickBot="1" x14ac:dyDescent="0.3">
      <c r="A488" s="30"/>
      <c r="B488" s="52"/>
      <c r="C488" s="53"/>
      <c r="D488" s="31"/>
      <c r="E488" s="263" t="s">
        <v>241</v>
      </c>
      <c r="F488" s="169">
        <f>SUM(F475:F486)</f>
        <v>3982.2396250000002</v>
      </c>
    </row>
    <row r="490" spans="1:6" ht="15" thickBot="1" x14ac:dyDescent="0.25"/>
    <row r="491" spans="1:6" x14ac:dyDescent="0.2">
      <c r="A491" s="16" t="s">
        <v>256</v>
      </c>
      <c r="B491" s="33"/>
      <c r="C491" s="34"/>
      <c r="D491" s="17"/>
      <c r="E491" s="257"/>
      <c r="F491" s="164"/>
    </row>
    <row r="492" spans="1:6" ht="38.25" x14ac:dyDescent="0.2">
      <c r="A492" s="18" t="s">
        <v>566</v>
      </c>
      <c r="B492" s="91"/>
      <c r="C492" s="92"/>
      <c r="D492" s="19" t="s">
        <v>233</v>
      </c>
      <c r="E492" s="258" t="s">
        <v>75</v>
      </c>
      <c r="F492" s="165"/>
    </row>
    <row r="493" spans="1:6" ht="15" thickBot="1" x14ac:dyDescent="0.25">
      <c r="A493" s="20"/>
      <c r="B493" s="37"/>
      <c r="C493" s="38"/>
      <c r="D493" s="21"/>
      <c r="E493" s="259"/>
      <c r="F493" s="166"/>
    </row>
    <row r="494" spans="1:6" ht="15" thickBot="1" x14ac:dyDescent="0.25">
      <c r="A494" s="22" t="s">
        <v>234</v>
      </c>
      <c r="B494" s="41" t="s">
        <v>235</v>
      </c>
      <c r="C494" s="42" t="s">
        <v>236</v>
      </c>
      <c r="D494" s="23" t="s">
        <v>237</v>
      </c>
      <c r="E494" s="260" t="s">
        <v>67</v>
      </c>
      <c r="F494" s="167" t="s">
        <v>238</v>
      </c>
    </row>
    <row r="495" spans="1:6" ht="15.75" thickTop="1" x14ac:dyDescent="0.25">
      <c r="A495" s="24" t="s">
        <v>239</v>
      </c>
      <c r="B495" s="44"/>
      <c r="C495" s="45"/>
      <c r="D495" s="25"/>
      <c r="E495" s="261"/>
      <c r="F495" s="168"/>
    </row>
    <row r="496" spans="1:6" x14ac:dyDescent="0.2">
      <c r="A496" s="27" t="s">
        <v>106</v>
      </c>
      <c r="B496" s="44">
        <v>205360</v>
      </c>
      <c r="C496" s="47">
        <v>5.1388999999999997E-2</v>
      </c>
      <c r="D496" s="25" t="s">
        <v>86</v>
      </c>
      <c r="E496" s="261">
        <v>0.03</v>
      </c>
      <c r="F496" s="168">
        <f>+B496*C496*(1+E496)</f>
        <v>10869.8423912</v>
      </c>
    </row>
    <row r="497" spans="1:6" x14ac:dyDescent="0.2">
      <c r="A497" s="27" t="s">
        <v>107</v>
      </c>
      <c r="B497" s="44">
        <f>3500*1.19</f>
        <v>4165</v>
      </c>
      <c r="C497" s="45">
        <v>11.614401858304298</v>
      </c>
      <c r="D497" s="25" t="s">
        <v>104</v>
      </c>
      <c r="E497" s="261">
        <v>0.03</v>
      </c>
      <c r="F497" s="168">
        <f>+B497*C497*(1+E497)</f>
        <v>49825.203252032523</v>
      </c>
    </row>
    <row r="498" spans="1:6" ht="15" thickBot="1" x14ac:dyDescent="0.25">
      <c r="A498" s="20"/>
      <c r="B498" s="39"/>
      <c r="C498" s="38"/>
      <c r="D498" s="21"/>
      <c r="E498" s="259"/>
      <c r="F498" s="166"/>
    </row>
    <row r="499" spans="1:6" ht="15" x14ac:dyDescent="0.25">
      <c r="A499" s="28" t="s">
        <v>240</v>
      </c>
      <c r="B499" s="49"/>
      <c r="C499" s="50"/>
      <c r="D499" s="29"/>
      <c r="E499" s="262"/>
      <c r="F499" s="164"/>
    </row>
    <row r="500" spans="1:6" x14ac:dyDescent="0.2">
      <c r="A500" s="27" t="s">
        <v>78</v>
      </c>
      <c r="B500" s="44">
        <v>561</v>
      </c>
      <c r="C500" s="45">
        <v>1</v>
      </c>
      <c r="D500" s="25" t="s">
        <v>85</v>
      </c>
      <c r="E500" s="261">
        <v>0</v>
      </c>
      <c r="F500" s="168">
        <f>+B500*C500*(1+E500)</f>
        <v>561</v>
      </c>
    </row>
    <row r="501" spans="1:6" x14ac:dyDescent="0.2">
      <c r="A501" s="27"/>
      <c r="B501" s="44"/>
      <c r="C501" s="45"/>
      <c r="D501" s="25"/>
      <c r="E501" s="261"/>
      <c r="F501" s="168"/>
    </row>
    <row r="502" spans="1:6" ht="15" thickBot="1" x14ac:dyDescent="0.25">
      <c r="A502" s="20"/>
      <c r="B502" s="39"/>
      <c r="C502" s="38"/>
      <c r="D502" s="21"/>
      <c r="E502" s="259"/>
      <c r="F502" s="166"/>
    </row>
    <row r="503" spans="1:6" ht="15" x14ac:dyDescent="0.25">
      <c r="A503" s="28" t="s">
        <v>116</v>
      </c>
      <c r="B503" s="49"/>
      <c r="C503" s="50"/>
      <c r="D503" s="29"/>
      <c r="E503" s="262"/>
      <c r="F503" s="164"/>
    </row>
    <row r="504" spans="1:6" x14ac:dyDescent="0.2">
      <c r="A504" s="27" t="s">
        <v>92</v>
      </c>
      <c r="B504" s="44">
        <v>1337</v>
      </c>
      <c r="C504" s="45">
        <v>1</v>
      </c>
      <c r="D504" s="25" t="s">
        <v>85</v>
      </c>
      <c r="E504" s="261">
        <v>0</v>
      </c>
      <c r="F504" s="168">
        <f>+B504*C504*(1+E504)</f>
        <v>1337</v>
      </c>
    </row>
    <row r="505" spans="1:6" ht="15" thickBot="1" x14ac:dyDescent="0.25">
      <c r="A505" s="20"/>
      <c r="B505" s="39"/>
      <c r="C505" s="38"/>
      <c r="D505" s="21"/>
      <c r="E505" s="259"/>
      <c r="F505" s="166"/>
    </row>
    <row r="506" spans="1:6" ht="15" x14ac:dyDescent="0.25">
      <c r="A506" s="24" t="s">
        <v>70</v>
      </c>
      <c r="B506" s="44"/>
      <c r="C506" s="45"/>
      <c r="D506" s="25"/>
      <c r="E506" s="261"/>
      <c r="F506" s="168"/>
    </row>
    <row r="507" spans="1:6" x14ac:dyDescent="0.2">
      <c r="A507" s="27" t="s">
        <v>70</v>
      </c>
      <c r="B507" s="44">
        <v>9198.3962499999998</v>
      </c>
      <c r="C507" s="45">
        <v>1.5</v>
      </c>
      <c r="D507" s="25" t="s">
        <v>83</v>
      </c>
      <c r="E507" s="261">
        <v>0</v>
      </c>
      <c r="F507" s="168">
        <f>+B507*C507*(1+E507)</f>
        <v>13797.594375000001</v>
      </c>
    </row>
    <row r="508" spans="1:6" ht="15" thickBot="1" x14ac:dyDescent="0.25">
      <c r="A508" s="27"/>
      <c r="B508" s="44"/>
      <c r="C508" s="45"/>
      <c r="D508" s="25"/>
      <c r="E508" s="261"/>
      <c r="F508" s="168"/>
    </row>
    <row r="509" spans="1:6" ht="15.75" thickBot="1" x14ac:dyDescent="0.3">
      <c r="A509" s="30"/>
      <c r="B509" s="52"/>
      <c r="C509" s="53"/>
      <c r="D509" s="31"/>
      <c r="E509" s="263" t="s">
        <v>241</v>
      </c>
      <c r="F509" s="169">
        <f>SUM(F496:F507)</f>
        <v>76390.640018232516</v>
      </c>
    </row>
    <row r="511" spans="1:6" ht="15" thickBot="1" x14ac:dyDescent="0.25"/>
    <row r="512" spans="1:6" x14ac:dyDescent="0.2">
      <c r="A512" s="32" t="s">
        <v>256</v>
      </c>
      <c r="B512" s="33"/>
      <c r="C512" s="34"/>
      <c r="D512" s="35"/>
      <c r="E512" s="265"/>
      <c r="F512" s="171"/>
    </row>
    <row r="513" spans="1:6" ht="38.25" x14ac:dyDescent="0.2">
      <c r="A513" s="90" t="s">
        <v>565</v>
      </c>
      <c r="B513" s="91"/>
      <c r="C513" s="92"/>
      <c r="D513" s="91" t="s">
        <v>233</v>
      </c>
      <c r="E513" s="264" t="s">
        <v>75</v>
      </c>
      <c r="F513" s="170"/>
    </row>
    <row r="514" spans="1:6" ht="15" thickBot="1" x14ac:dyDescent="0.25">
      <c r="A514" s="36"/>
      <c r="B514" s="37"/>
      <c r="C514" s="38"/>
      <c r="D514" s="39"/>
      <c r="E514" s="266"/>
      <c r="F514" s="172"/>
    </row>
    <row r="515" spans="1:6" ht="15" thickBot="1" x14ac:dyDescent="0.25">
      <c r="A515" s="40" t="s">
        <v>234</v>
      </c>
      <c r="B515" s="41" t="s">
        <v>235</v>
      </c>
      <c r="C515" s="42" t="s">
        <v>236</v>
      </c>
      <c r="D515" s="41" t="s">
        <v>237</v>
      </c>
      <c r="E515" s="267" t="s">
        <v>67</v>
      </c>
      <c r="F515" s="173" t="s">
        <v>238</v>
      </c>
    </row>
    <row r="516" spans="1:6" ht="15.75" thickTop="1" x14ac:dyDescent="0.25">
      <c r="A516" s="43" t="s">
        <v>239</v>
      </c>
      <c r="B516" s="44"/>
      <c r="C516" s="45"/>
      <c r="D516" s="44"/>
      <c r="E516" s="268"/>
      <c r="F516" s="174"/>
    </row>
    <row r="517" spans="1:6" x14ac:dyDescent="0.2">
      <c r="A517" s="46" t="s">
        <v>106</v>
      </c>
      <c r="B517" s="44">
        <v>205360</v>
      </c>
      <c r="C517" s="47">
        <v>4.2119999999999998E-2</v>
      </c>
      <c r="D517" s="44" t="s">
        <v>86</v>
      </c>
      <c r="E517" s="268">
        <v>0.1</v>
      </c>
      <c r="F517" s="168">
        <f>+B517*C517*(1+E517)</f>
        <v>9514.739520000001</v>
      </c>
    </row>
    <row r="518" spans="1:6" x14ac:dyDescent="0.2">
      <c r="A518" s="46" t="s">
        <v>698</v>
      </c>
      <c r="B518" s="44">
        <v>2500</v>
      </c>
      <c r="C518" s="45">
        <v>14</v>
      </c>
      <c r="D518" s="44" t="s">
        <v>104</v>
      </c>
      <c r="E518" s="268">
        <v>0.1</v>
      </c>
      <c r="F518" s="168">
        <f>+B518*C518*(1+E518)</f>
        <v>38500</v>
      </c>
    </row>
    <row r="519" spans="1:6" ht="15" thickBot="1" x14ac:dyDescent="0.25">
      <c r="A519" s="36"/>
      <c r="B519" s="39"/>
      <c r="C519" s="38"/>
      <c r="D519" s="39"/>
      <c r="E519" s="266"/>
      <c r="F519" s="172"/>
    </row>
    <row r="520" spans="1:6" ht="15" x14ac:dyDescent="0.25">
      <c r="A520" s="48" t="s">
        <v>240</v>
      </c>
      <c r="B520" s="49"/>
      <c r="C520" s="50"/>
      <c r="D520" s="49"/>
      <c r="E520" s="269"/>
      <c r="F520" s="171"/>
    </row>
    <row r="521" spans="1:6" x14ac:dyDescent="0.2">
      <c r="A521" s="46" t="s">
        <v>78</v>
      </c>
      <c r="B521" s="44">
        <v>2851</v>
      </c>
      <c r="C521" s="45">
        <v>1</v>
      </c>
      <c r="D521" s="44" t="s">
        <v>85</v>
      </c>
      <c r="E521" s="268">
        <v>0</v>
      </c>
      <c r="F521" s="168">
        <f>+B521*C521*(1+E521)</f>
        <v>2851</v>
      </c>
    </row>
    <row r="522" spans="1:6" x14ac:dyDescent="0.2">
      <c r="A522" s="46"/>
      <c r="B522" s="44"/>
      <c r="C522" s="45"/>
      <c r="D522" s="44"/>
      <c r="E522" s="268"/>
      <c r="F522" s="174"/>
    </row>
    <row r="523" spans="1:6" ht="15" thickBot="1" x14ac:dyDescent="0.25">
      <c r="A523" s="36"/>
      <c r="B523" s="39"/>
      <c r="C523" s="38"/>
      <c r="D523" s="39"/>
      <c r="E523" s="266"/>
      <c r="F523" s="172"/>
    </row>
    <row r="524" spans="1:6" ht="15" x14ac:dyDescent="0.25">
      <c r="A524" s="48" t="s">
        <v>116</v>
      </c>
      <c r="B524" s="49"/>
      <c r="C524" s="50"/>
      <c r="D524" s="49"/>
      <c r="E524" s="269"/>
      <c r="F524" s="171"/>
    </row>
    <row r="525" spans="1:6" x14ac:dyDescent="0.2">
      <c r="A525" s="46" t="s">
        <v>92</v>
      </c>
      <c r="B525" s="44">
        <v>1710</v>
      </c>
      <c r="C525" s="45">
        <v>1</v>
      </c>
      <c r="D525" s="44" t="s">
        <v>85</v>
      </c>
      <c r="E525" s="268">
        <v>0</v>
      </c>
      <c r="F525" s="174">
        <f>+B525*C525*(1+E525)</f>
        <v>1710</v>
      </c>
    </row>
    <row r="526" spans="1:6" ht="15" thickBot="1" x14ac:dyDescent="0.25">
      <c r="A526" s="36"/>
      <c r="B526" s="39"/>
      <c r="C526" s="38"/>
      <c r="D526" s="39"/>
      <c r="E526" s="266"/>
      <c r="F526" s="172"/>
    </row>
    <row r="527" spans="1:6" ht="15" x14ac:dyDescent="0.25">
      <c r="A527" s="43" t="s">
        <v>70</v>
      </c>
      <c r="B527" s="44"/>
      <c r="C527" s="45"/>
      <c r="D527" s="44"/>
      <c r="E527" s="268"/>
      <c r="F527" s="174"/>
    </row>
    <row r="528" spans="1:6" x14ac:dyDescent="0.2">
      <c r="A528" s="46" t="s">
        <v>70</v>
      </c>
      <c r="B528" s="44">
        <v>9198.3962499999998</v>
      </c>
      <c r="C528" s="45">
        <v>1.2</v>
      </c>
      <c r="D528" s="44" t="s">
        <v>83</v>
      </c>
      <c r="E528" s="268">
        <v>0</v>
      </c>
      <c r="F528" s="174">
        <f>+B528*C528*(1+E528)</f>
        <v>11038.075499999999</v>
      </c>
    </row>
    <row r="529" spans="1:6" ht="15" thickBot="1" x14ac:dyDescent="0.25">
      <c r="A529" s="46"/>
      <c r="B529" s="44"/>
      <c r="C529" s="45"/>
      <c r="D529" s="44"/>
      <c r="E529" s="268"/>
      <c r="F529" s="174"/>
    </row>
    <row r="530" spans="1:6" ht="15.75" thickBot="1" x14ac:dyDescent="0.3">
      <c r="A530" s="51"/>
      <c r="B530" s="52"/>
      <c r="C530" s="53"/>
      <c r="D530" s="52"/>
      <c r="E530" s="270" t="s">
        <v>241</v>
      </c>
      <c r="F530" s="175">
        <f>SUM(F517:F528)</f>
        <v>63613.815020000002</v>
      </c>
    </row>
    <row r="534" spans="1:6" ht="15" thickBot="1" x14ac:dyDescent="0.25"/>
    <row r="535" spans="1:6" x14ac:dyDescent="0.2">
      <c r="A535" s="16" t="s">
        <v>256</v>
      </c>
      <c r="B535" s="33"/>
      <c r="C535" s="34"/>
      <c r="D535" s="17"/>
      <c r="E535" s="257"/>
      <c r="F535" s="164"/>
    </row>
    <row r="536" spans="1:6" ht="38.25" x14ac:dyDescent="0.2">
      <c r="A536" s="90" t="s">
        <v>257</v>
      </c>
      <c r="B536" s="91"/>
      <c r="C536" s="92"/>
      <c r="D536" s="19" t="s">
        <v>233</v>
      </c>
      <c r="E536" s="258" t="s">
        <v>75</v>
      </c>
      <c r="F536" s="165"/>
    </row>
    <row r="537" spans="1:6" ht="15" thickBot="1" x14ac:dyDescent="0.25">
      <c r="A537" s="20"/>
      <c r="B537" s="37"/>
      <c r="C537" s="38"/>
      <c r="D537" s="21"/>
      <c r="E537" s="259"/>
      <c r="F537" s="166"/>
    </row>
    <row r="538" spans="1:6" ht="15" thickBot="1" x14ac:dyDescent="0.25">
      <c r="A538" s="22" t="s">
        <v>234</v>
      </c>
      <c r="B538" s="41" t="s">
        <v>235</v>
      </c>
      <c r="C538" s="42" t="s">
        <v>236</v>
      </c>
      <c r="D538" s="23" t="s">
        <v>237</v>
      </c>
      <c r="E538" s="260" t="s">
        <v>67</v>
      </c>
      <c r="F538" s="167" t="s">
        <v>238</v>
      </c>
    </row>
    <row r="539" spans="1:6" ht="15.75" thickTop="1" x14ac:dyDescent="0.25">
      <c r="A539" s="24" t="s">
        <v>239</v>
      </c>
      <c r="B539" s="44"/>
      <c r="C539" s="45"/>
      <c r="D539" s="25"/>
      <c r="E539" s="261"/>
      <c r="F539" s="168"/>
    </row>
    <row r="540" spans="1:6" x14ac:dyDescent="0.2">
      <c r="A540" s="27" t="s">
        <v>106</v>
      </c>
      <c r="B540" s="44">
        <v>205360</v>
      </c>
      <c r="C540" s="47">
        <v>4.2119999999999998E-2</v>
      </c>
      <c r="D540" s="25" t="s">
        <v>86</v>
      </c>
      <c r="E540" s="261">
        <v>0.1</v>
      </c>
      <c r="F540" s="168">
        <f>+B540*C540*(1+E540)</f>
        <v>9514.739520000001</v>
      </c>
    </row>
    <row r="541" spans="1:6" x14ac:dyDescent="0.2">
      <c r="A541" s="27" t="s">
        <v>178</v>
      </c>
      <c r="B541" s="44">
        <v>850</v>
      </c>
      <c r="C541" s="45">
        <v>39</v>
      </c>
      <c r="D541" s="25" t="s">
        <v>104</v>
      </c>
      <c r="E541" s="261">
        <v>0.1</v>
      </c>
      <c r="F541" s="168">
        <f>+B541*C541*(1+E541)</f>
        <v>36465</v>
      </c>
    </row>
    <row r="542" spans="1:6" ht="15" thickBot="1" x14ac:dyDescent="0.25">
      <c r="A542" s="20"/>
      <c r="B542" s="39"/>
      <c r="C542" s="38"/>
      <c r="D542" s="21"/>
      <c r="E542" s="259"/>
      <c r="F542" s="166"/>
    </row>
    <row r="543" spans="1:6" ht="15" x14ac:dyDescent="0.25">
      <c r="A543" s="28" t="s">
        <v>240</v>
      </c>
      <c r="B543" s="49"/>
      <c r="C543" s="50"/>
      <c r="D543" s="29"/>
      <c r="E543" s="262"/>
      <c r="F543" s="164"/>
    </row>
    <row r="544" spans="1:6" x14ac:dyDescent="0.2">
      <c r="A544" s="27" t="s">
        <v>78</v>
      </c>
      <c r="B544" s="44">
        <v>2851</v>
      </c>
      <c r="C544" s="45">
        <v>1</v>
      </c>
      <c r="D544" s="25" t="s">
        <v>85</v>
      </c>
      <c r="E544" s="261">
        <v>0</v>
      </c>
      <c r="F544" s="168">
        <f>+B544*C544*(1+E544)</f>
        <v>2851</v>
      </c>
    </row>
    <row r="545" spans="1:6" x14ac:dyDescent="0.2">
      <c r="A545" s="27"/>
      <c r="B545" s="44"/>
      <c r="C545" s="45"/>
      <c r="D545" s="25"/>
      <c r="E545" s="261"/>
      <c r="F545" s="168"/>
    </row>
    <row r="546" spans="1:6" ht="15" thickBot="1" x14ac:dyDescent="0.25">
      <c r="A546" s="20"/>
      <c r="B546" s="39"/>
      <c r="C546" s="38"/>
      <c r="D546" s="21"/>
      <c r="E546" s="259"/>
      <c r="F546" s="166"/>
    </row>
    <row r="547" spans="1:6" ht="15" x14ac:dyDescent="0.25">
      <c r="A547" s="28" t="s">
        <v>116</v>
      </c>
      <c r="B547" s="49"/>
      <c r="C547" s="50"/>
      <c r="D547" s="29"/>
      <c r="E547" s="262"/>
      <c r="F547" s="164"/>
    </row>
    <row r="548" spans="1:6" x14ac:dyDescent="0.2">
      <c r="A548" s="27" t="s">
        <v>92</v>
      </c>
      <c r="B548" s="44">
        <v>1710</v>
      </c>
      <c r="C548" s="45">
        <v>1</v>
      </c>
      <c r="D548" s="25" t="s">
        <v>85</v>
      </c>
      <c r="E548" s="261">
        <v>0</v>
      </c>
      <c r="F548" s="168">
        <f>+B548*C548*(1+E548)</f>
        <v>1710</v>
      </c>
    </row>
    <row r="549" spans="1:6" ht="15" thickBot="1" x14ac:dyDescent="0.25">
      <c r="A549" s="20"/>
      <c r="B549" s="39"/>
      <c r="C549" s="38"/>
      <c r="D549" s="21"/>
      <c r="E549" s="259"/>
      <c r="F549" s="166"/>
    </row>
    <row r="550" spans="1:6" ht="15" x14ac:dyDescent="0.25">
      <c r="A550" s="24" t="s">
        <v>70</v>
      </c>
      <c r="B550" s="44"/>
      <c r="C550" s="45"/>
      <c r="D550" s="25"/>
      <c r="E550" s="261"/>
      <c r="F550" s="168"/>
    </row>
    <row r="551" spans="1:6" x14ac:dyDescent="0.2">
      <c r="A551" s="27" t="s">
        <v>70</v>
      </c>
      <c r="B551" s="44">
        <v>9198.3962499999998</v>
      </c>
      <c r="C551" s="45">
        <v>1.2</v>
      </c>
      <c r="D551" s="25" t="s">
        <v>83</v>
      </c>
      <c r="E551" s="261">
        <v>0</v>
      </c>
      <c r="F551" s="168">
        <f>+B551*C551*(1+E551)</f>
        <v>11038.075499999999</v>
      </c>
    </row>
    <row r="552" spans="1:6" ht="15" thickBot="1" x14ac:dyDescent="0.25">
      <c r="A552" s="27"/>
      <c r="B552" s="44"/>
      <c r="C552" s="45"/>
      <c r="D552" s="25"/>
      <c r="E552" s="261"/>
      <c r="F552" s="168"/>
    </row>
    <row r="553" spans="1:6" ht="15.75" thickBot="1" x14ac:dyDescent="0.3">
      <c r="A553" s="30"/>
      <c r="B553" s="52"/>
      <c r="C553" s="53"/>
      <c r="D553" s="31"/>
      <c r="E553" s="263" t="s">
        <v>241</v>
      </c>
      <c r="F553" s="169">
        <f>SUM(F540:F551)</f>
        <v>61578.815020000002</v>
      </c>
    </row>
    <row r="555" spans="1:6" ht="15" thickBot="1" x14ac:dyDescent="0.25"/>
    <row r="556" spans="1:6" x14ac:dyDescent="0.2">
      <c r="A556" s="16" t="s">
        <v>258</v>
      </c>
      <c r="B556" s="33"/>
      <c r="C556" s="34"/>
      <c r="D556" s="17"/>
      <c r="E556" s="257"/>
      <c r="F556" s="164"/>
    </row>
    <row r="557" spans="1:6" x14ac:dyDescent="0.2">
      <c r="A557" s="90" t="s">
        <v>259</v>
      </c>
      <c r="B557" s="91"/>
      <c r="C557" s="92"/>
      <c r="D557" s="19" t="s">
        <v>233</v>
      </c>
      <c r="E557" s="258" t="s">
        <v>173</v>
      </c>
      <c r="F557" s="165"/>
    </row>
    <row r="558" spans="1:6" ht="15" thickBot="1" x14ac:dyDescent="0.25">
      <c r="A558" s="20"/>
      <c r="B558" s="37"/>
      <c r="C558" s="38"/>
      <c r="D558" s="21"/>
      <c r="E558" s="259"/>
      <c r="F558" s="166"/>
    </row>
    <row r="559" spans="1:6" ht="15" thickBot="1" x14ac:dyDescent="0.25">
      <c r="A559" s="22" t="s">
        <v>234</v>
      </c>
      <c r="B559" s="41" t="s">
        <v>235</v>
      </c>
      <c r="C559" s="42" t="s">
        <v>236</v>
      </c>
      <c r="D559" s="23" t="s">
        <v>237</v>
      </c>
      <c r="E559" s="260" t="s">
        <v>67</v>
      </c>
      <c r="F559" s="167" t="s">
        <v>238</v>
      </c>
    </row>
    <row r="560" spans="1:6" ht="15.75" thickTop="1" x14ac:dyDescent="0.25">
      <c r="A560" s="24" t="s">
        <v>239</v>
      </c>
      <c r="B560" s="44"/>
      <c r="C560" s="45"/>
      <c r="D560" s="25"/>
      <c r="E560" s="261"/>
      <c r="F560" s="168"/>
    </row>
    <row r="561" spans="1:7" x14ac:dyDescent="0.2">
      <c r="A561" s="27" t="s">
        <v>183</v>
      </c>
      <c r="B561" s="44">
        <v>35632</v>
      </c>
      <c r="C561" s="54">
        <v>1.1709983373566858E-2</v>
      </c>
      <c r="D561" s="25" t="s">
        <v>181</v>
      </c>
      <c r="E561" s="261">
        <v>0.03</v>
      </c>
      <c r="F561" s="168">
        <f t="shared" ref="F561:F570" si="9">+B561*C561*(1+E561)</f>
        <v>429.76763139394234</v>
      </c>
    </row>
    <row r="562" spans="1:7" ht="28.5" x14ac:dyDescent="0.2">
      <c r="A562" s="27" t="s">
        <v>184</v>
      </c>
      <c r="B562" s="44">
        <v>113358</v>
      </c>
      <c r="C562" s="54">
        <v>2.9016456983217203E-3</v>
      </c>
      <c r="D562" s="25" t="s">
        <v>181</v>
      </c>
      <c r="E562" s="261">
        <v>0.03</v>
      </c>
      <c r="F562" s="168">
        <f t="shared" si="9"/>
        <v>338.7924956624642</v>
      </c>
    </row>
    <row r="563" spans="1:7" x14ac:dyDescent="0.2">
      <c r="A563" s="27" t="s">
        <v>185</v>
      </c>
      <c r="B563" s="44">
        <v>150818</v>
      </c>
      <c r="C563" s="54">
        <v>1.2632011566378243E-3</v>
      </c>
      <c r="D563" s="25" t="s">
        <v>181</v>
      </c>
      <c r="E563" s="261">
        <v>0.03</v>
      </c>
      <c r="F563" s="168">
        <f t="shared" si="9"/>
        <v>196.22887620305747</v>
      </c>
    </row>
    <row r="564" spans="1:7" ht="28.5" x14ac:dyDescent="0.2">
      <c r="A564" s="27" t="s">
        <v>186</v>
      </c>
      <c r="B564" s="44">
        <v>124015</v>
      </c>
      <c r="C564" s="54">
        <v>1.7310866208805834E-3</v>
      </c>
      <c r="D564" s="25" t="s">
        <v>181</v>
      </c>
      <c r="E564" s="261">
        <v>0.03</v>
      </c>
      <c r="F564" s="168">
        <f t="shared" si="9"/>
        <v>221.12112850716071</v>
      </c>
    </row>
    <row r="565" spans="1:7" ht="28.5" x14ac:dyDescent="0.2">
      <c r="A565" s="27" t="s">
        <v>187</v>
      </c>
      <c r="B565" s="44">
        <v>180435</v>
      </c>
      <c r="C565" s="54">
        <v>4.0220909253673789E-3</v>
      </c>
      <c r="D565" s="25" t="s">
        <v>181</v>
      </c>
      <c r="E565" s="261">
        <v>0.03</v>
      </c>
      <c r="F565" s="168">
        <f t="shared" si="9"/>
        <v>747.49775540222288</v>
      </c>
    </row>
    <row r="566" spans="1:7" x14ac:dyDescent="0.2">
      <c r="A566" s="27" t="s">
        <v>182</v>
      </c>
      <c r="B566" s="44">
        <v>23800</v>
      </c>
      <c r="C566" s="54">
        <v>8.0000000000000004E-4</v>
      </c>
      <c r="D566" s="25" t="s">
        <v>181</v>
      </c>
      <c r="E566" s="261">
        <v>0.03</v>
      </c>
      <c r="F566" s="168">
        <f t="shared" si="9"/>
        <v>19.6112</v>
      </c>
    </row>
    <row r="567" spans="1:7" x14ac:dyDescent="0.2">
      <c r="A567" s="27" t="s">
        <v>188</v>
      </c>
      <c r="B567" s="44">
        <v>7500</v>
      </c>
      <c r="C567" s="54">
        <v>0.05</v>
      </c>
      <c r="D567" s="25" t="s">
        <v>176</v>
      </c>
      <c r="E567" s="261">
        <v>0.03</v>
      </c>
      <c r="F567" s="168">
        <f t="shared" si="9"/>
        <v>386.25</v>
      </c>
    </row>
    <row r="568" spans="1:7" x14ac:dyDescent="0.2">
      <c r="A568" s="27" t="s">
        <v>190</v>
      </c>
      <c r="B568" s="44">
        <v>16000</v>
      </c>
      <c r="C568" s="54">
        <v>9.1999999999999998E-3</v>
      </c>
      <c r="D568" s="25" t="s">
        <v>189</v>
      </c>
      <c r="E568" s="261">
        <v>0.03</v>
      </c>
      <c r="F568" s="168">
        <f t="shared" si="9"/>
        <v>151.61599999999999</v>
      </c>
    </row>
    <row r="569" spans="1:7" x14ac:dyDescent="0.2">
      <c r="A569" s="27" t="s">
        <v>191</v>
      </c>
      <c r="B569" s="44">
        <v>32000</v>
      </c>
      <c r="C569" s="54">
        <v>1.84E-2</v>
      </c>
      <c r="D569" s="25" t="s">
        <v>189</v>
      </c>
      <c r="E569" s="261">
        <v>0.03</v>
      </c>
      <c r="F569" s="168">
        <f t="shared" si="9"/>
        <v>606.46399999999994</v>
      </c>
    </row>
    <row r="570" spans="1:7" x14ac:dyDescent="0.2">
      <c r="A570" s="27" t="s">
        <v>210</v>
      </c>
      <c r="B570" s="44">
        <v>43000</v>
      </c>
      <c r="C570" s="54">
        <v>2.5700000000000001E-2</v>
      </c>
      <c r="D570" s="25" t="s">
        <v>189</v>
      </c>
      <c r="E570" s="261">
        <v>0.03</v>
      </c>
      <c r="F570" s="168">
        <f t="shared" si="9"/>
        <v>1138.2530000000002</v>
      </c>
    </row>
    <row r="571" spans="1:7" x14ac:dyDescent="0.2">
      <c r="A571" s="27" t="s">
        <v>794</v>
      </c>
      <c r="B571" s="44">
        <v>7500</v>
      </c>
      <c r="C571" s="54">
        <v>0.05</v>
      </c>
      <c r="D571" s="25" t="s">
        <v>176</v>
      </c>
      <c r="E571" s="261">
        <v>0.03</v>
      </c>
      <c r="F571" s="168">
        <f>+B571*C571*(1+E571)</f>
        <v>386.25</v>
      </c>
    </row>
    <row r="572" spans="1:7" ht="15" thickBot="1" x14ac:dyDescent="0.25">
      <c r="A572" s="20"/>
      <c r="B572" s="39"/>
      <c r="C572" s="38"/>
      <c r="D572" s="21"/>
      <c r="E572" s="259"/>
      <c r="F572" s="166"/>
      <c r="G572" s="55">
        <f>SUM(F561:F570)</f>
        <v>4235.602087168847</v>
      </c>
    </row>
    <row r="573" spans="1:7" ht="15" x14ac:dyDescent="0.25">
      <c r="A573" s="28" t="s">
        <v>240</v>
      </c>
      <c r="B573" s="49"/>
      <c r="C573" s="50"/>
      <c r="D573" s="29"/>
      <c r="E573" s="262"/>
      <c r="F573" s="164"/>
    </row>
    <row r="574" spans="1:7" x14ac:dyDescent="0.2">
      <c r="A574" s="27" t="s">
        <v>78</v>
      </c>
      <c r="B574" s="44">
        <v>201.81109247370549</v>
      </c>
      <c r="C574" s="45">
        <v>1</v>
      </c>
      <c r="D574" s="25" t="s">
        <v>176</v>
      </c>
      <c r="E574" s="261">
        <v>0</v>
      </c>
      <c r="F574" s="168">
        <v>294</v>
      </c>
    </row>
    <row r="575" spans="1:7" x14ac:dyDescent="0.2">
      <c r="A575" s="27"/>
      <c r="B575" s="44"/>
      <c r="C575" s="45"/>
      <c r="D575" s="25"/>
      <c r="E575" s="261"/>
      <c r="F575" s="168"/>
    </row>
    <row r="576" spans="1:7" ht="15" thickBot="1" x14ac:dyDescent="0.25">
      <c r="A576" s="20"/>
      <c r="B576" s="39"/>
      <c r="C576" s="38"/>
      <c r="D576" s="21"/>
      <c r="E576" s="259"/>
      <c r="F576" s="166"/>
    </row>
    <row r="577" spans="1:6" ht="15" x14ac:dyDescent="0.25">
      <c r="A577" s="28" t="s">
        <v>116</v>
      </c>
      <c r="B577" s="49"/>
      <c r="C577" s="50"/>
      <c r="D577" s="29"/>
      <c r="E577" s="262"/>
      <c r="F577" s="164"/>
    </row>
    <row r="578" spans="1:6" x14ac:dyDescent="0.2">
      <c r="A578" s="27" t="s">
        <v>92</v>
      </c>
      <c r="B578" s="44">
        <v>121.08665548422329</v>
      </c>
      <c r="C578" s="45">
        <v>1</v>
      </c>
      <c r="D578" s="25" t="s">
        <v>176</v>
      </c>
      <c r="E578" s="261">
        <v>0</v>
      </c>
      <c r="F578" s="168">
        <f>+B578*C578*(1+E578)</f>
        <v>121.08665548422329</v>
      </c>
    </row>
    <row r="579" spans="1:6" ht="15" thickBot="1" x14ac:dyDescent="0.25">
      <c r="A579" s="20"/>
      <c r="B579" s="39"/>
      <c r="C579" s="38"/>
      <c r="D579" s="21"/>
      <c r="E579" s="259"/>
      <c r="F579" s="166"/>
    </row>
    <row r="580" spans="1:6" ht="15" x14ac:dyDescent="0.25">
      <c r="A580" s="24" t="s">
        <v>70</v>
      </c>
      <c r="B580" s="44"/>
      <c r="C580" s="45"/>
      <c r="D580" s="25"/>
      <c r="E580" s="261"/>
      <c r="F580" s="168"/>
    </row>
    <row r="581" spans="1:6" x14ac:dyDescent="0.2">
      <c r="A581" s="27" t="s">
        <v>70</v>
      </c>
      <c r="B581" s="44">
        <v>9198.3962499999998</v>
      </c>
      <c r="C581" s="45">
        <v>0.34499999999999997</v>
      </c>
      <c r="D581" s="25" t="s">
        <v>177</v>
      </c>
      <c r="E581" s="261">
        <v>0</v>
      </c>
      <c r="F581" s="168">
        <f>+B581*C581*(1+E581)</f>
        <v>3173.4467062499998</v>
      </c>
    </row>
    <row r="582" spans="1:6" ht="15" thickBot="1" x14ac:dyDescent="0.25">
      <c r="A582" s="27"/>
      <c r="B582" s="44"/>
      <c r="C582" s="45"/>
      <c r="D582" s="25"/>
      <c r="E582" s="261"/>
      <c r="F582" s="168"/>
    </row>
    <row r="583" spans="1:6" ht="15.75" thickBot="1" x14ac:dyDescent="0.3">
      <c r="A583" s="30"/>
      <c r="B583" s="52"/>
      <c r="C583" s="53"/>
      <c r="D583" s="31"/>
      <c r="E583" s="263" t="s">
        <v>241</v>
      </c>
      <c r="F583" s="169">
        <f>SUM(F561:F581)</f>
        <v>8210.3854489030709</v>
      </c>
    </row>
    <row r="585" spans="1:6" ht="15" thickBot="1" x14ac:dyDescent="0.25"/>
    <row r="586" spans="1:6" x14ac:dyDescent="0.2">
      <c r="A586" s="16" t="s">
        <v>258</v>
      </c>
      <c r="B586" s="33"/>
      <c r="C586" s="34"/>
      <c r="D586" s="17"/>
      <c r="E586" s="257"/>
      <c r="F586" s="164"/>
    </row>
    <row r="587" spans="1:6" ht="25.5" x14ac:dyDescent="0.2">
      <c r="A587" s="90" t="s">
        <v>547</v>
      </c>
      <c r="B587" s="91"/>
      <c r="C587" s="92"/>
      <c r="D587" s="19" t="s">
        <v>233</v>
      </c>
      <c r="E587" s="258" t="s">
        <v>75</v>
      </c>
      <c r="F587" s="165"/>
    </row>
    <row r="588" spans="1:6" ht="15" thickBot="1" x14ac:dyDescent="0.25">
      <c r="A588" s="20"/>
      <c r="B588" s="37"/>
      <c r="C588" s="38"/>
      <c r="D588" s="21"/>
      <c r="E588" s="259"/>
      <c r="F588" s="166"/>
    </row>
    <row r="589" spans="1:6" ht="15" thickBot="1" x14ac:dyDescent="0.25">
      <c r="A589" s="22" t="s">
        <v>234</v>
      </c>
      <c r="B589" s="41" t="s">
        <v>235</v>
      </c>
      <c r="C589" s="42" t="s">
        <v>236</v>
      </c>
      <c r="D589" s="23" t="s">
        <v>237</v>
      </c>
      <c r="E589" s="260" t="s">
        <v>67</v>
      </c>
      <c r="F589" s="167" t="s">
        <v>238</v>
      </c>
    </row>
    <row r="590" spans="1:6" ht="15.75" thickTop="1" x14ac:dyDescent="0.25">
      <c r="A590" s="24" t="s">
        <v>239</v>
      </c>
      <c r="B590" s="44"/>
      <c r="C590" s="45"/>
      <c r="D590" s="25"/>
      <c r="E590" s="261"/>
      <c r="F590" s="168"/>
    </row>
    <row r="591" spans="1:6" ht="28.5" x14ac:dyDescent="0.2">
      <c r="A591" s="27" t="s">
        <v>544</v>
      </c>
      <c r="B591" s="44">
        <f>135572*1.19</f>
        <v>161330.68</v>
      </c>
      <c r="C591" s="54">
        <v>0.23</v>
      </c>
      <c r="D591" s="25" t="s">
        <v>369</v>
      </c>
      <c r="E591" s="261">
        <v>0.03</v>
      </c>
      <c r="F591" s="168">
        <f>B591*C591*(1+E591)</f>
        <v>38219.238092</v>
      </c>
    </row>
    <row r="592" spans="1:6" x14ac:dyDescent="0.2">
      <c r="A592" s="27" t="s">
        <v>545</v>
      </c>
      <c r="B592" s="44">
        <v>492</v>
      </c>
      <c r="C592" s="54">
        <v>2</v>
      </c>
      <c r="D592" s="25" t="s">
        <v>369</v>
      </c>
      <c r="E592" s="261">
        <v>0.03</v>
      </c>
      <c r="F592" s="168">
        <f>B592*C592*(1+E592)</f>
        <v>1013.52</v>
      </c>
    </row>
    <row r="593" spans="1:7" ht="28.5" x14ac:dyDescent="0.2">
      <c r="A593" s="27" t="s">
        <v>546</v>
      </c>
      <c r="B593" s="44">
        <v>559</v>
      </c>
      <c r="C593" s="54">
        <v>6</v>
      </c>
      <c r="D593" s="25" t="s">
        <v>369</v>
      </c>
      <c r="E593" s="261">
        <v>0.03</v>
      </c>
      <c r="F593" s="168">
        <f t="shared" ref="F593" si="10">B593*C593*(1+E593)</f>
        <v>3454.62</v>
      </c>
    </row>
    <row r="594" spans="1:7" ht="15" thickBot="1" x14ac:dyDescent="0.25">
      <c r="A594" s="20"/>
      <c r="B594" s="39"/>
      <c r="C594" s="38"/>
      <c r="D594" s="21"/>
      <c r="E594" s="259"/>
      <c r="F594" s="166"/>
      <c r="G594" s="15">
        <f>SUM(F591:F593)</f>
        <v>42687.378091999999</v>
      </c>
    </row>
    <row r="595" spans="1:7" ht="15" x14ac:dyDescent="0.25">
      <c r="A595" s="28" t="s">
        <v>240</v>
      </c>
      <c r="B595" s="49"/>
      <c r="C595" s="50"/>
      <c r="D595" s="29"/>
      <c r="E595" s="262"/>
      <c r="F595" s="164"/>
    </row>
    <row r="596" spans="1:7" x14ac:dyDescent="0.2">
      <c r="A596" s="27" t="s">
        <v>78</v>
      </c>
      <c r="B596" s="44">
        <v>2134.3689046</v>
      </c>
      <c r="C596" s="45">
        <v>1</v>
      </c>
      <c r="D596" s="25" t="s">
        <v>85</v>
      </c>
      <c r="E596" s="261">
        <v>0</v>
      </c>
      <c r="F596" s="168">
        <f>+B596*C596*(1+E596)</f>
        <v>2134.3689046</v>
      </c>
    </row>
    <row r="597" spans="1:7" x14ac:dyDescent="0.2">
      <c r="A597" s="27"/>
      <c r="B597" s="44"/>
      <c r="C597" s="45"/>
      <c r="D597" s="25"/>
      <c r="E597" s="261"/>
      <c r="F597" s="168"/>
    </row>
    <row r="598" spans="1:7" ht="15" thickBot="1" x14ac:dyDescent="0.25">
      <c r="A598" s="20"/>
      <c r="B598" s="39"/>
      <c r="C598" s="38"/>
      <c r="D598" s="21"/>
      <c r="E598" s="259"/>
      <c r="F598" s="166"/>
    </row>
    <row r="599" spans="1:7" ht="15" x14ac:dyDescent="0.25">
      <c r="A599" s="28" t="s">
        <v>116</v>
      </c>
      <c r="B599" s="49"/>
      <c r="C599" s="50"/>
      <c r="D599" s="29"/>
      <c r="E599" s="262"/>
      <c r="F599" s="164"/>
    </row>
    <row r="600" spans="1:7" x14ac:dyDescent="0.2">
      <c r="A600" s="27" t="s">
        <v>92</v>
      </c>
      <c r="B600" s="44">
        <v>1280.6213427599998</v>
      </c>
      <c r="C600" s="45">
        <v>1</v>
      </c>
      <c r="D600" s="25" t="s">
        <v>85</v>
      </c>
      <c r="E600" s="261">
        <v>0</v>
      </c>
      <c r="F600" s="168">
        <f>+B600*C600*(1+E600)</f>
        <v>1280.6213427599998</v>
      </c>
    </row>
    <row r="601" spans="1:7" ht="15" thickBot="1" x14ac:dyDescent="0.25">
      <c r="A601" s="20"/>
      <c r="B601" s="39"/>
      <c r="C601" s="38"/>
      <c r="D601" s="21"/>
      <c r="E601" s="259"/>
      <c r="F601" s="166"/>
    </row>
    <row r="602" spans="1:7" ht="15" x14ac:dyDescent="0.25">
      <c r="A602" s="24" t="s">
        <v>70</v>
      </c>
      <c r="B602" s="44"/>
      <c r="C602" s="45"/>
      <c r="D602" s="25"/>
      <c r="E602" s="261"/>
      <c r="F602" s="168"/>
    </row>
    <row r="603" spans="1:7" x14ac:dyDescent="0.2">
      <c r="A603" s="27" t="s">
        <v>70</v>
      </c>
      <c r="B603" s="44">
        <v>9198.3962499999998</v>
      </c>
      <c r="C603" s="45">
        <v>1.4</v>
      </c>
      <c r="D603" s="25" t="s">
        <v>83</v>
      </c>
      <c r="E603" s="261">
        <v>0</v>
      </c>
      <c r="F603" s="168">
        <f>+B603*C603*(1+E603)</f>
        <v>12877.754749999998</v>
      </c>
    </row>
    <row r="604" spans="1:7" ht="15" thickBot="1" x14ac:dyDescent="0.25">
      <c r="A604" s="27"/>
      <c r="B604" s="44"/>
      <c r="C604" s="45"/>
      <c r="D604" s="25"/>
      <c r="E604" s="261"/>
      <c r="F604" s="168"/>
    </row>
    <row r="605" spans="1:7" ht="15.75" thickBot="1" x14ac:dyDescent="0.3">
      <c r="A605" s="30"/>
      <c r="B605" s="52"/>
      <c r="C605" s="53"/>
      <c r="D605" s="31"/>
      <c r="E605" s="263" t="s">
        <v>241</v>
      </c>
      <c r="F605" s="169">
        <f>SUM(F591:F603)</f>
        <v>58980.12308936</v>
      </c>
    </row>
    <row r="608" spans="1:7" ht="15" thickBot="1" x14ac:dyDescent="0.25"/>
    <row r="609" spans="1:7" x14ac:dyDescent="0.2">
      <c r="A609" s="16" t="s">
        <v>258</v>
      </c>
      <c r="B609" s="33"/>
      <c r="C609" s="34"/>
      <c r="D609" s="17"/>
      <c r="E609" s="257"/>
      <c r="F609" s="164"/>
    </row>
    <row r="610" spans="1:7" x14ac:dyDescent="0.2">
      <c r="A610" s="90" t="s">
        <v>548</v>
      </c>
      <c r="B610" s="91"/>
      <c r="C610" s="92"/>
      <c r="D610" s="19" t="s">
        <v>233</v>
      </c>
      <c r="E610" s="258" t="s">
        <v>75</v>
      </c>
      <c r="F610" s="165"/>
    </row>
    <row r="611" spans="1:7" ht="15" thickBot="1" x14ac:dyDescent="0.25">
      <c r="A611" s="20"/>
      <c r="B611" s="37"/>
      <c r="C611" s="38"/>
      <c r="D611" s="21"/>
      <c r="E611" s="259"/>
      <c r="F611" s="166"/>
    </row>
    <row r="612" spans="1:7" ht="15" thickBot="1" x14ac:dyDescent="0.25">
      <c r="A612" s="22" t="s">
        <v>234</v>
      </c>
      <c r="B612" s="41" t="s">
        <v>235</v>
      </c>
      <c r="C612" s="42" t="s">
        <v>236</v>
      </c>
      <c r="D612" s="23" t="s">
        <v>237</v>
      </c>
      <c r="E612" s="260" t="s">
        <v>67</v>
      </c>
      <c r="F612" s="167" t="s">
        <v>238</v>
      </c>
    </row>
    <row r="613" spans="1:7" ht="15.75" thickTop="1" x14ac:dyDescent="0.25">
      <c r="A613" s="24" t="s">
        <v>239</v>
      </c>
      <c r="B613" s="44"/>
      <c r="C613" s="45"/>
      <c r="D613" s="25"/>
      <c r="E613" s="261"/>
      <c r="F613" s="168"/>
    </row>
    <row r="614" spans="1:7" ht="28.5" x14ac:dyDescent="0.2">
      <c r="A614" s="27" t="s">
        <v>549</v>
      </c>
      <c r="B614" s="44">
        <v>58594</v>
      </c>
      <c r="C614" s="54">
        <v>0.5</v>
      </c>
      <c r="D614" s="25" t="s">
        <v>369</v>
      </c>
      <c r="E614" s="261">
        <v>0.03</v>
      </c>
      <c r="F614" s="168">
        <f>B614*C614*(1+E614)</f>
        <v>30175.91</v>
      </c>
    </row>
    <row r="615" spans="1:7" ht="28.5" x14ac:dyDescent="0.2">
      <c r="A615" s="27" t="s">
        <v>546</v>
      </c>
      <c r="B615" s="44">
        <v>500</v>
      </c>
      <c r="C615" s="54">
        <v>6</v>
      </c>
      <c r="D615" s="25" t="s">
        <v>369</v>
      </c>
      <c r="E615" s="261">
        <v>0.03</v>
      </c>
      <c r="F615" s="168">
        <f>B615*C615*(1+E615)</f>
        <v>3090</v>
      </c>
    </row>
    <row r="616" spans="1:7" ht="15" thickBot="1" x14ac:dyDescent="0.25">
      <c r="A616" s="20"/>
      <c r="B616" s="39"/>
      <c r="C616" s="38"/>
      <c r="D616" s="21"/>
      <c r="E616" s="259"/>
      <c r="F616" s="166"/>
      <c r="G616" s="15">
        <f>SUM(F614:F615)</f>
        <v>33265.910000000003</v>
      </c>
    </row>
    <row r="617" spans="1:7" ht="15" x14ac:dyDescent="0.25">
      <c r="A617" s="28" t="s">
        <v>240</v>
      </c>
      <c r="B617" s="49"/>
      <c r="C617" s="50"/>
      <c r="D617" s="29"/>
      <c r="E617" s="262"/>
      <c r="F617" s="164"/>
    </row>
    <row r="618" spans="1:7" x14ac:dyDescent="0.2">
      <c r="A618" s="27" t="s">
        <v>78</v>
      </c>
      <c r="B618" s="44">
        <v>1663.2955000000002</v>
      </c>
      <c r="C618" s="45">
        <v>1</v>
      </c>
      <c r="D618" s="25" t="s">
        <v>85</v>
      </c>
      <c r="E618" s="261">
        <v>0</v>
      </c>
      <c r="F618" s="168">
        <f>+B618*C618*(1+E618)</f>
        <v>1663.2955000000002</v>
      </c>
    </row>
    <row r="619" spans="1:7" x14ac:dyDescent="0.2">
      <c r="A619" s="27"/>
      <c r="B619" s="44"/>
      <c r="C619" s="45"/>
      <c r="D619" s="25"/>
      <c r="E619" s="261"/>
      <c r="F619" s="168"/>
    </row>
    <row r="620" spans="1:7" ht="15" thickBot="1" x14ac:dyDescent="0.25">
      <c r="A620" s="20"/>
      <c r="B620" s="39"/>
      <c r="C620" s="38"/>
      <c r="D620" s="21"/>
      <c r="E620" s="259"/>
      <c r="F620" s="166"/>
    </row>
    <row r="621" spans="1:7" ht="15" x14ac:dyDescent="0.25">
      <c r="A621" s="28" t="s">
        <v>116</v>
      </c>
      <c r="B621" s="49"/>
      <c r="C621" s="50"/>
      <c r="D621" s="29"/>
      <c r="E621" s="262"/>
      <c r="F621" s="164"/>
    </row>
    <row r="622" spans="1:7" x14ac:dyDescent="0.2">
      <c r="A622" s="27" t="s">
        <v>92</v>
      </c>
      <c r="B622" s="44">
        <v>997.97730000000001</v>
      </c>
      <c r="C622" s="45">
        <v>1</v>
      </c>
      <c r="D622" s="25" t="s">
        <v>85</v>
      </c>
      <c r="E622" s="261">
        <v>0</v>
      </c>
      <c r="F622" s="168">
        <f>+B622*C622*(1+E622)</f>
        <v>997.97730000000001</v>
      </c>
    </row>
    <row r="623" spans="1:7" ht="15" thickBot="1" x14ac:dyDescent="0.25">
      <c r="A623" s="20"/>
      <c r="B623" s="39"/>
      <c r="C623" s="38"/>
      <c r="D623" s="21"/>
      <c r="E623" s="259"/>
      <c r="F623" s="166"/>
    </row>
    <row r="624" spans="1:7" ht="15" x14ac:dyDescent="0.25">
      <c r="A624" s="24" t="s">
        <v>70</v>
      </c>
      <c r="B624" s="44"/>
      <c r="C624" s="45"/>
      <c r="D624" s="25"/>
      <c r="E624" s="261"/>
      <c r="F624" s="168"/>
    </row>
    <row r="625" spans="1:6" x14ac:dyDescent="0.2">
      <c r="A625" s="27" t="s">
        <v>70</v>
      </c>
      <c r="B625" s="44">
        <v>9198.3962499999998</v>
      </c>
      <c r="C625" s="45">
        <v>0.8</v>
      </c>
      <c r="D625" s="25" t="s">
        <v>83</v>
      </c>
      <c r="E625" s="261">
        <v>0</v>
      </c>
      <c r="F625" s="168">
        <f>+B625*C625*(1+E625)</f>
        <v>7358.7170000000006</v>
      </c>
    </row>
    <row r="626" spans="1:6" ht="15" thickBot="1" x14ac:dyDescent="0.25">
      <c r="A626" s="27"/>
      <c r="B626" s="44"/>
      <c r="C626" s="45"/>
      <c r="D626" s="25"/>
      <c r="E626" s="261"/>
      <c r="F626" s="168"/>
    </row>
    <row r="627" spans="1:6" ht="15.75" thickBot="1" x14ac:dyDescent="0.3">
      <c r="A627" s="30"/>
      <c r="B627" s="52"/>
      <c r="C627" s="53"/>
      <c r="D627" s="31"/>
      <c r="E627" s="263" t="s">
        <v>241</v>
      </c>
      <c r="F627" s="169">
        <f>SUM(F614:F625)</f>
        <v>43285.899799999999</v>
      </c>
    </row>
    <row r="631" spans="1:6" ht="15" thickBot="1" x14ac:dyDescent="0.25"/>
    <row r="632" spans="1:6" x14ac:dyDescent="0.2">
      <c r="A632" s="16" t="s">
        <v>260</v>
      </c>
      <c r="B632" s="33"/>
      <c r="C632" s="34"/>
      <c r="D632" s="17"/>
      <c r="E632" s="257"/>
      <c r="F632" s="164"/>
    </row>
    <row r="633" spans="1:6" ht="25.5" x14ac:dyDescent="0.2">
      <c r="A633" s="90" t="s">
        <v>261</v>
      </c>
      <c r="B633" s="91"/>
      <c r="C633" s="92"/>
      <c r="D633" s="19" t="s">
        <v>233</v>
      </c>
      <c r="E633" s="258" t="s">
        <v>2</v>
      </c>
      <c r="F633" s="165"/>
    </row>
    <row r="634" spans="1:6" ht="15" thickBot="1" x14ac:dyDescent="0.25">
      <c r="A634" s="20"/>
      <c r="B634" s="37"/>
      <c r="C634" s="38"/>
      <c r="D634" s="21"/>
      <c r="E634" s="259"/>
      <c r="F634" s="166"/>
    </row>
    <row r="635" spans="1:6" ht="15" thickBot="1" x14ac:dyDescent="0.25">
      <c r="A635" s="22" t="s">
        <v>234</v>
      </c>
      <c r="B635" s="41" t="s">
        <v>235</v>
      </c>
      <c r="C635" s="42" t="s">
        <v>236</v>
      </c>
      <c r="D635" s="23" t="s">
        <v>237</v>
      </c>
      <c r="E635" s="260" t="s">
        <v>67</v>
      </c>
      <c r="F635" s="167" t="s">
        <v>238</v>
      </c>
    </row>
    <row r="636" spans="1:6" ht="15.75" thickTop="1" x14ac:dyDescent="0.25">
      <c r="A636" s="24" t="s">
        <v>239</v>
      </c>
      <c r="B636" s="44"/>
      <c r="C636" s="45"/>
      <c r="D636" s="25"/>
      <c r="E636" s="261"/>
      <c r="F636" s="168"/>
    </row>
    <row r="637" spans="1:6" x14ac:dyDescent="0.2">
      <c r="A637" s="27" t="s">
        <v>151</v>
      </c>
      <c r="B637" s="44">
        <v>61578.815020000002</v>
      </c>
      <c r="C637" s="54">
        <v>1.2</v>
      </c>
      <c r="D637" s="25" t="s">
        <v>109</v>
      </c>
      <c r="E637" s="261">
        <v>0.03</v>
      </c>
      <c r="F637" s="168">
        <f>+B637*C637*(1+E637)</f>
        <v>76111.41536472</v>
      </c>
    </row>
    <row r="638" spans="1:6" x14ac:dyDescent="0.2">
      <c r="A638" s="27" t="s">
        <v>152</v>
      </c>
      <c r="B638" s="44">
        <v>14117.31625</v>
      </c>
      <c r="C638" s="54">
        <v>1.2</v>
      </c>
      <c r="D638" s="25" t="s">
        <v>109</v>
      </c>
      <c r="E638" s="261">
        <v>0</v>
      </c>
      <c r="F638" s="168">
        <f>+B638*C638*(1+E638)</f>
        <v>16940.779500000001</v>
      </c>
    </row>
    <row r="639" spans="1:6" x14ac:dyDescent="0.2">
      <c r="A639" s="27" t="s">
        <v>153</v>
      </c>
      <c r="B639" s="44">
        <v>22768.005250000002</v>
      </c>
      <c r="C639" s="54">
        <v>0.36</v>
      </c>
      <c r="D639" s="25" t="s">
        <v>109</v>
      </c>
      <c r="E639" s="261">
        <v>0</v>
      </c>
      <c r="F639" s="168">
        <f>+B639*C639*(1+E639)</f>
        <v>8196.4818900000009</v>
      </c>
    </row>
    <row r="640" spans="1:6" x14ac:dyDescent="0.2">
      <c r="A640" s="27" t="s">
        <v>782</v>
      </c>
      <c r="B640" s="44">
        <v>35000</v>
      </c>
      <c r="C640" s="54">
        <v>1</v>
      </c>
      <c r="D640" s="25" t="s">
        <v>101</v>
      </c>
      <c r="E640" s="261">
        <v>0</v>
      </c>
      <c r="F640" s="168">
        <f>+B640*C640*(1+E640)</f>
        <v>35000</v>
      </c>
    </row>
    <row r="641" spans="1:6" ht="28.5" x14ac:dyDescent="0.2">
      <c r="A641" s="27" t="s">
        <v>781</v>
      </c>
      <c r="B641" s="44">
        <v>120000</v>
      </c>
      <c r="C641" s="54">
        <v>1</v>
      </c>
      <c r="D641" s="25" t="s">
        <v>101</v>
      </c>
      <c r="E641" s="261">
        <v>0</v>
      </c>
      <c r="F641" s="168">
        <f>+B641*C641*(1+E641)</f>
        <v>120000</v>
      </c>
    </row>
    <row r="642" spans="1:6" ht="15" thickBot="1" x14ac:dyDescent="0.25">
      <c r="A642" s="20"/>
      <c r="B642" s="39"/>
      <c r="C642" s="38"/>
      <c r="D642" s="21"/>
      <c r="E642" s="259"/>
      <c r="F642" s="166"/>
    </row>
    <row r="643" spans="1:6" ht="15" x14ac:dyDescent="0.25">
      <c r="A643" s="28" t="s">
        <v>240</v>
      </c>
      <c r="B643" s="49"/>
      <c r="C643" s="50"/>
      <c r="D643" s="29"/>
      <c r="E643" s="262"/>
      <c r="F643" s="164"/>
    </row>
    <row r="644" spans="1:6" x14ac:dyDescent="0.2">
      <c r="A644" s="27" t="s">
        <v>158</v>
      </c>
      <c r="B644" s="44">
        <v>18572</v>
      </c>
      <c r="C644" s="45">
        <v>1</v>
      </c>
      <c r="D644" s="25" t="s">
        <v>101</v>
      </c>
      <c r="E644" s="261">
        <v>0</v>
      </c>
      <c r="F644" s="168">
        <f>+B644*C644*(1+E644)</f>
        <v>18572</v>
      </c>
    </row>
    <row r="645" spans="1:6" x14ac:dyDescent="0.2">
      <c r="A645" s="27"/>
      <c r="B645" s="44"/>
      <c r="C645" s="45"/>
      <c r="D645" s="25"/>
      <c r="E645" s="261"/>
      <c r="F645" s="168"/>
    </row>
    <row r="646" spans="1:6" ht="15" thickBot="1" x14ac:dyDescent="0.25">
      <c r="A646" s="20"/>
      <c r="B646" s="39"/>
      <c r="C646" s="38"/>
      <c r="D646" s="21"/>
      <c r="E646" s="259"/>
      <c r="F646" s="166"/>
    </row>
    <row r="647" spans="1:6" ht="15" x14ac:dyDescent="0.25">
      <c r="A647" s="28" t="s">
        <v>116</v>
      </c>
      <c r="B647" s="49"/>
      <c r="C647" s="50"/>
      <c r="D647" s="29"/>
      <c r="E647" s="262"/>
      <c r="F647" s="164"/>
    </row>
    <row r="648" spans="1:6" x14ac:dyDescent="0.2">
      <c r="A648" s="27" t="s">
        <v>92</v>
      </c>
      <c r="B648" s="44">
        <v>11143</v>
      </c>
      <c r="C648" s="45">
        <v>1</v>
      </c>
      <c r="D648" s="25" t="s">
        <v>101</v>
      </c>
      <c r="E648" s="261">
        <v>0</v>
      </c>
      <c r="F648" s="168">
        <f>+B648*C648*(1+E648)</f>
        <v>11143</v>
      </c>
    </row>
    <row r="649" spans="1:6" ht="15" thickBot="1" x14ac:dyDescent="0.25">
      <c r="A649" s="20"/>
      <c r="B649" s="39"/>
      <c r="C649" s="38"/>
      <c r="D649" s="21"/>
      <c r="E649" s="259"/>
      <c r="F649" s="166"/>
    </row>
    <row r="650" spans="1:6" ht="15" x14ac:dyDescent="0.25">
      <c r="A650" s="24" t="s">
        <v>70</v>
      </c>
      <c r="B650" s="44"/>
      <c r="C650" s="45"/>
      <c r="D650" s="25"/>
      <c r="E650" s="261"/>
      <c r="F650" s="168"/>
    </row>
    <row r="651" spans="1:6" x14ac:dyDescent="0.2">
      <c r="A651" s="27" t="s">
        <v>70</v>
      </c>
      <c r="B651" s="44">
        <v>11327.304895833335</v>
      </c>
      <c r="C651" s="45">
        <v>10.17</v>
      </c>
      <c r="D651" s="25" t="s">
        <v>102</v>
      </c>
      <c r="E651" s="261">
        <v>0</v>
      </c>
      <c r="F651" s="168">
        <f>+B651*C651*(1+E651)</f>
        <v>115198.69079062501</v>
      </c>
    </row>
    <row r="652" spans="1:6" ht="15" thickBot="1" x14ac:dyDescent="0.25">
      <c r="A652" s="27"/>
      <c r="B652" s="44"/>
      <c r="C652" s="45"/>
      <c r="D652" s="25"/>
      <c r="E652" s="261"/>
      <c r="F652" s="168"/>
    </row>
    <row r="653" spans="1:6" ht="15.75" thickBot="1" x14ac:dyDescent="0.3">
      <c r="A653" s="30"/>
      <c r="B653" s="52"/>
      <c r="C653" s="53"/>
      <c r="D653" s="31"/>
      <c r="E653" s="263" t="s">
        <v>241</v>
      </c>
      <c r="F653" s="169">
        <f>SUM(F637:F651)</f>
        <v>401162.36754534498</v>
      </c>
    </row>
    <row r="655" spans="1:6" ht="15" thickBot="1" x14ac:dyDescent="0.25"/>
    <row r="656" spans="1:6" x14ac:dyDescent="0.2">
      <c r="A656" s="16" t="s">
        <v>260</v>
      </c>
      <c r="B656" s="33"/>
      <c r="C656" s="34"/>
      <c r="D656" s="17"/>
      <c r="E656" s="257"/>
      <c r="F656" s="164"/>
    </row>
    <row r="657" spans="1:7" ht="25.5" x14ac:dyDescent="0.2">
      <c r="A657" s="90" t="s">
        <v>262</v>
      </c>
      <c r="B657" s="91"/>
      <c r="C657" s="92"/>
      <c r="D657" s="19" t="s">
        <v>233</v>
      </c>
      <c r="E657" s="258" t="s">
        <v>80</v>
      </c>
      <c r="F657" s="165"/>
    </row>
    <row r="658" spans="1:7" ht="15" thickBot="1" x14ac:dyDescent="0.25">
      <c r="A658" s="20"/>
      <c r="B658" s="37"/>
      <c r="C658" s="38"/>
      <c r="D658" s="21"/>
      <c r="E658" s="259"/>
      <c r="F658" s="166"/>
    </row>
    <row r="659" spans="1:7" ht="15" thickBot="1" x14ac:dyDescent="0.25">
      <c r="A659" s="22" t="s">
        <v>234</v>
      </c>
      <c r="B659" s="41" t="s">
        <v>235</v>
      </c>
      <c r="C659" s="42" t="s">
        <v>236</v>
      </c>
      <c r="D659" s="23" t="s">
        <v>237</v>
      </c>
      <c r="E659" s="260" t="s">
        <v>67</v>
      </c>
      <c r="F659" s="167" t="s">
        <v>238</v>
      </c>
    </row>
    <row r="660" spans="1:7" ht="15.75" thickTop="1" x14ac:dyDescent="0.25">
      <c r="A660" s="24" t="s">
        <v>239</v>
      </c>
      <c r="B660" s="44"/>
      <c r="C660" s="45"/>
      <c r="D660" s="25"/>
      <c r="E660" s="261"/>
      <c r="F660" s="168"/>
    </row>
    <row r="661" spans="1:7" x14ac:dyDescent="0.2">
      <c r="A661" s="27" t="s">
        <v>148</v>
      </c>
      <c r="B661" s="44">
        <f>((97678*1.19)/6)*1.2</f>
        <v>23247.363999999998</v>
      </c>
      <c r="C661" s="54">
        <v>1</v>
      </c>
      <c r="D661" s="25" t="s">
        <v>90</v>
      </c>
      <c r="E661" s="261">
        <v>0.03</v>
      </c>
      <c r="F661" s="168">
        <f>+B661*C661*(1+E661)</f>
        <v>23944.784919999998</v>
      </c>
    </row>
    <row r="662" spans="1:7" x14ac:dyDescent="0.2">
      <c r="A662" s="27" t="s">
        <v>122</v>
      </c>
      <c r="B662" s="44">
        <v>38000</v>
      </c>
      <c r="C662" s="54">
        <v>7.1400000000000005E-2</v>
      </c>
      <c r="D662" s="25" t="s">
        <v>103</v>
      </c>
      <c r="E662" s="261">
        <v>0.03</v>
      </c>
      <c r="F662" s="168">
        <f>+B662*C662*(1+E662)</f>
        <v>2794.5960000000005</v>
      </c>
    </row>
    <row r="663" spans="1:7" x14ac:dyDescent="0.2">
      <c r="A663" s="27" t="s">
        <v>123</v>
      </c>
      <c r="B663" s="44">
        <v>62900</v>
      </c>
      <c r="C663" s="54">
        <v>7.1400000000000005E-2</v>
      </c>
      <c r="D663" s="25" t="s">
        <v>103</v>
      </c>
      <c r="E663" s="261">
        <v>0.03</v>
      </c>
      <c r="F663" s="168">
        <f>+B663*C663*(1+E663)</f>
        <v>4625.7918000000009</v>
      </c>
    </row>
    <row r="664" spans="1:7" x14ac:dyDescent="0.2">
      <c r="A664" s="27" t="s">
        <v>147</v>
      </c>
      <c r="B664" s="44">
        <f>9448*1.19</f>
        <v>11243.119999999999</v>
      </c>
      <c r="C664" s="54">
        <v>9.8699999999999996E-2</v>
      </c>
      <c r="D664" s="25" t="s">
        <v>90</v>
      </c>
      <c r="E664" s="261">
        <v>0</v>
      </c>
      <c r="F664" s="168">
        <f>+B664*C664*(1+E664)</f>
        <v>1109.6959439999998</v>
      </c>
    </row>
    <row r="665" spans="1:7" ht="15" thickBot="1" x14ac:dyDescent="0.25">
      <c r="A665" s="20"/>
      <c r="B665" s="39"/>
      <c r="C665" s="38"/>
      <c r="D665" s="21"/>
      <c r="E665" s="259"/>
      <c r="F665" s="166"/>
      <c r="G665" s="15">
        <f>SUM(F661:F664)</f>
        <v>32474.868664000001</v>
      </c>
    </row>
    <row r="666" spans="1:7" ht="15" x14ac:dyDescent="0.25">
      <c r="A666" s="28" t="s">
        <v>240</v>
      </c>
      <c r="B666" s="49"/>
      <c r="C666" s="50"/>
      <c r="D666" s="29"/>
      <c r="E666" s="262"/>
      <c r="F666" s="164"/>
    </row>
    <row r="667" spans="1:7" x14ac:dyDescent="0.2">
      <c r="A667" s="27" t="s">
        <v>158</v>
      </c>
      <c r="B667" s="44">
        <v>1424.203558866667</v>
      </c>
      <c r="C667" s="45">
        <v>1</v>
      </c>
      <c r="D667" s="25" t="s">
        <v>82</v>
      </c>
      <c r="E667" s="261">
        <v>0</v>
      </c>
      <c r="F667" s="168">
        <f>+B667*C667*(1+E667)</f>
        <v>1424.203558866667</v>
      </c>
    </row>
    <row r="668" spans="1:7" x14ac:dyDescent="0.2">
      <c r="A668" s="27"/>
      <c r="B668" s="44"/>
      <c r="C668" s="45"/>
      <c r="D668" s="25"/>
      <c r="E668" s="261"/>
      <c r="F668" s="168"/>
    </row>
    <row r="669" spans="1:7" ht="15" thickBot="1" x14ac:dyDescent="0.25">
      <c r="A669" s="20"/>
      <c r="B669" s="39"/>
      <c r="C669" s="38"/>
      <c r="D669" s="21"/>
      <c r="E669" s="259"/>
      <c r="F669" s="166"/>
    </row>
    <row r="670" spans="1:7" ht="15" x14ac:dyDescent="0.25">
      <c r="A670" s="28" t="s">
        <v>116</v>
      </c>
      <c r="B670" s="49"/>
      <c r="C670" s="50"/>
      <c r="D670" s="29"/>
      <c r="E670" s="262"/>
      <c r="F670" s="164"/>
    </row>
    <row r="671" spans="1:7" x14ac:dyDescent="0.2">
      <c r="A671" s="27" t="s">
        <v>92</v>
      </c>
      <c r="B671" s="44">
        <v>854.52213532000007</v>
      </c>
      <c r="C671" s="45">
        <v>1</v>
      </c>
      <c r="D671" s="25" t="s">
        <v>82</v>
      </c>
      <c r="E671" s="261">
        <v>0</v>
      </c>
      <c r="F671" s="168">
        <f>+B671*C671*(1+E671)</f>
        <v>854.52213532000007</v>
      </c>
    </row>
    <row r="672" spans="1:7" ht="15" thickBot="1" x14ac:dyDescent="0.25">
      <c r="A672" s="20"/>
      <c r="B672" s="39"/>
      <c r="C672" s="38"/>
      <c r="D672" s="21"/>
      <c r="E672" s="259"/>
      <c r="F672" s="166"/>
    </row>
    <row r="673" spans="1:6" ht="15" x14ac:dyDescent="0.25">
      <c r="A673" s="24" t="s">
        <v>70</v>
      </c>
      <c r="B673" s="44"/>
      <c r="C673" s="45"/>
      <c r="D673" s="25"/>
      <c r="E673" s="261"/>
      <c r="F673" s="168"/>
    </row>
    <row r="674" spans="1:6" x14ac:dyDescent="0.2">
      <c r="A674" s="27" t="s">
        <v>70</v>
      </c>
      <c r="B674" s="44">
        <v>9198.3962499999998</v>
      </c>
      <c r="C674" s="45">
        <v>1.44</v>
      </c>
      <c r="D674" s="25" t="s">
        <v>81</v>
      </c>
      <c r="E674" s="261">
        <v>0</v>
      </c>
      <c r="F674" s="168">
        <f>+B674*C674*(1+E674)</f>
        <v>13245.6906</v>
      </c>
    </row>
    <row r="675" spans="1:6" ht="15" thickBot="1" x14ac:dyDescent="0.25">
      <c r="A675" s="27"/>
      <c r="B675" s="44"/>
      <c r="C675" s="45"/>
      <c r="D675" s="25"/>
      <c r="E675" s="261"/>
      <c r="F675" s="168"/>
    </row>
    <row r="676" spans="1:6" ht="15.75" thickBot="1" x14ac:dyDescent="0.3">
      <c r="A676" s="30"/>
      <c r="B676" s="52"/>
      <c r="C676" s="53"/>
      <c r="D676" s="31"/>
      <c r="E676" s="263" t="s">
        <v>241</v>
      </c>
      <c r="F676" s="169">
        <f>SUM(F661:F674)</f>
        <v>47999.284958186676</v>
      </c>
    </row>
    <row r="678" spans="1:6" ht="15" thickBot="1" x14ac:dyDescent="0.25"/>
    <row r="679" spans="1:6" x14ac:dyDescent="0.2">
      <c r="A679" s="16" t="s">
        <v>260</v>
      </c>
      <c r="B679" s="33"/>
      <c r="C679" s="34"/>
      <c r="D679" s="17"/>
      <c r="E679" s="257"/>
      <c r="F679" s="164"/>
    </row>
    <row r="680" spans="1:6" ht="25.5" x14ac:dyDescent="0.2">
      <c r="A680" s="90" t="s">
        <v>263</v>
      </c>
      <c r="B680" s="91"/>
      <c r="C680" s="92"/>
      <c r="D680" s="19" t="s">
        <v>233</v>
      </c>
      <c r="E680" s="258" t="s">
        <v>2</v>
      </c>
      <c r="F680" s="165"/>
    </row>
    <row r="681" spans="1:6" ht="15" thickBot="1" x14ac:dyDescent="0.25">
      <c r="A681" s="20"/>
      <c r="B681" s="37"/>
      <c r="C681" s="38"/>
      <c r="D681" s="21"/>
      <c r="E681" s="259"/>
      <c r="F681" s="166"/>
    </row>
    <row r="682" spans="1:6" ht="15" thickBot="1" x14ac:dyDescent="0.25">
      <c r="A682" s="22" t="s">
        <v>234</v>
      </c>
      <c r="B682" s="41" t="s">
        <v>235</v>
      </c>
      <c r="C682" s="42" t="s">
        <v>236</v>
      </c>
      <c r="D682" s="23" t="s">
        <v>237</v>
      </c>
      <c r="E682" s="260" t="s">
        <v>67</v>
      </c>
      <c r="F682" s="167" t="s">
        <v>238</v>
      </c>
    </row>
    <row r="683" spans="1:6" ht="15.75" thickTop="1" x14ac:dyDescent="0.25">
      <c r="A683" s="24" t="s">
        <v>239</v>
      </c>
      <c r="B683" s="44"/>
      <c r="C683" s="45"/>
      <c r="D683" s="25"/>
      <c r="E683" s="261"/>
      <c r="F683" s="168"/>
    </row>
    <row r="684" spans="1:6" x14ac:dyDescent="0.2">
      <c r="A684" s="27" t="s">
        <v>149</v>
      </c>
      <c r="B684" s="82">
        <f>(46925*1.19)/6</f>
        <v>9306.7916666666661</v>
      </c>
      <c r="C684" s="54">
        <v>3</v>
      </c>
      <c r="D684" s="25" t="s">
        <v>101</v>
      </c>
      <c r="E684" s="261">
        <v>0.03</v>
      </c>
      <c r="F684" s="168">
        <f t="shared" ref="F684:F689" si="11">+B684*C684*(1+E684)</f>
        <v>28757.986250000002</v>
      </c>
    </row>
    <row r="685" spans="1:6" x14ac:dyDescent="0.2">
      <c r="A685" s="27" t="s">
        <v>154</v>
      </c>
      <c r="B685" s="44">
        <f>2104*1.19</f>
        <v>2503.7599999999998</v>
      </c>
      <c r="C685" s="54">
        <v>1</v>
      </c>
      <c r="D685" s="25" t="s">
        <v>101</v>
      </c>
      <c r="E685" s="261">
        <v>0</v>
      </c>
      <c r="F685" s="168">
        <f t="shared" si="11"/>
        <v>2503.7599999999998</v>
      </c>
    </row>
    <row r="686" spans="1:6" x14ac:dyDescent="0.2">
      <c r="A686" s="27" t="s">
        <v>122</v>
      </c>
      <c r="B686" s="44">
        <v>38000</v>
      </c>
      <c r="C686" s="54">
        <v>6.6666666666666666E-2</v>
      </c>
      <c r="D686" s="25" t="s">
        <v>110</v>
      </c>
      <c r="E686" s="261">
        <v>0.03</v>
      </c>
      <c r="F686" s="168">
        <f t="shared" si="11"/>
        <v>2609.3333333333335</v>
      </c>
    </row>
    <row r="687" spans="1:6" x14ac:dyDescent="0.2">
      <c r="A687" s="27" t="s">
        <v>123</v>
      </c>
      <c r="B687" s="44">
        <v>62900</v>
      </c>
      <c r="C687" s="54">
        <v>6.6666666666666666E-2</v>
      </c>
      <c r="D687" s="25" t="s">
        <v>110</v>
      </c>
      <c r="E687" s="261">
        <v>0.03</v>
      </c>
      <c r="F687" s="168">
        <f t="shared" si="11"/>
        <v>4319.1333333333332</v>
      </c>
    </row>
    <row r="688" spans="1:6" x14ac:dyDescent="0.2">
      <c r="A688" s="27" t="s">
        <v>155</v>
      </c>
      <c r="B688" s="44">
        <f>7722*1.19</f>
        <v>9189.18</v>
      </c>
      <c r="C688" s="54">
        <v>1</v>
      </c>
      <c r="D688" s="25" t="s">
        <v>101</v>
      </c>
      <c r="E688" s="261">
        <v>0</v>
      </c>
      <c r="F688" s="168">
        <f t="shared" si="11"/>
        <v>9189.18</v>
      </c>
    </row>
    <row r="689" spans="1:7" x14ac:dyDescent="0.2">
      <c r="A689" s="27" t="s">
        <v>150</v>
      </c>
      <c r="B689" s="44">
        <f>2513*1.19</f>
        <v>2990.47</v>
      </c>
      <c r="C689" s="54">
        <v>1</v>
      </c>
      <c r="D689" s="25" t="s">
        <v>101</v>
      </c>
      <c r="E689" s="261">
        <v>0</v>
      </c>
      <c r="F689" s="168">
        <f t="shared" si="11"/>
        <v>2990.47</v>
      </c>
    </row>
    <row r="690" spans="1:7" ht="15" thickBot="1" x14ac:dyDescent="0.25">
      <c r="A690" s="20"/>
      <c r="B690" s="39"/>
      <c r="C690" s="38"/>
      <c r="D690" s="21"/>
      <c r="E690" s="259"/>
      <c r="F690" s="166"/>
      <c r="G690" s="15">
        <f>SUM(F684:F688)</f>
        <v>47379.392916666664</v>
      </c>
    </row>
    <row r="691" spans="1:7" ht="15" x14ac:dyDescent="0.25">
      <c r="A691" s="28" t="s">
        <v>240</v>
      </c>
      <c r="B691" s="49"/>
      <c r="C691" s="50"/>
      <c r="D691" s="29"/>
      <c r="E691" s="262"/>
      <c r="F691" s="164"/>
    </row>
    <row r="692" spans="1:7" x14ac:dyDescent="0.2">
      <c r="A692" s="27" t="s">
        <v>158</v>
      </c>
      <c r="B692" s="44">
        <v>2368.9696458333333</v>
      </c>
      <c r="C692" s="45">
        <v>1</v>
      </c>
      <c r="D692" s="25" t="s">
        <v>101</v>
      </c>
      <c r="E692" s="261">
        <v>0</v>
      </c>
      <c r="F692" s="168">
        <f>+B692*C692*(1+E692)</f>
        <v>2368.9696458333333</v>
      </c>
    </row>
    <row r="693" spans="1:7" x14ac:dyDescent="0.2">
      <c r="A693" s="27"/>
      <c r="B693" s="44"/>
      <c r="C693" s="45"/>
      <c r="D693" s="25"/>
      <c r="E693" s="261"/>
      <c r="F693" s="168"/>
    </row>
    <row r="694" spans="1:7" ht="15" thickBot="1" x14ac:dyDescent="0.25">
      <c r="A694" s="20"/>
      <c r="B694" s="39"/>
      <c r="C694" s="38"/>
      <c r="D694" s="21"/>
      <c r="E694" s="259"/>
      <c r="F694" s="166"/>
    </row>
    <row r="695" spans="1:7" ht="15" x14ac:dyDescent="0.25">
      <c r="A695" s="28" t="s">
        <v>116</v>
      </c>
      <c r="B695" s="49"/>
      <c r="C695" s="50"/>
      <c r="D695" s="29"/>
      <c r="E695" s="262"/>
      <c r="F695" s="164"/>
    </row>
    <row r="696" spans="1:7" x14ac:dyDescent="0.2">
      <c r="A696" s="27" t="s">
        <v>92</v>
      </c>
      <c r="B696" s="44">
        <v>1421.3817875</v>
      </c>
      <c r="C696" s="45">
        <v>1</v>
      </c>
      <c r="D696" s="25" t="s">
        <v>101</v>
      </c>
      <c r="E696" s="261">
        <v>0</v>
      </c>
      <c r="F696" s="168">
        <f>+B696*C696*(1+E696)</f>
        <v>1421.3817875</v>
      </c>
    </row>
    <row r="697" spans="1:7" ht="15" thickBot="1" x14ac:dyDescent="0.25">
      <c r="A697" s="20"/>
      <c r="B697" s="39"/>
      <c r="C697" s="38"/>
      <c r="D697" s="21"/>
      <c r="E697" s="259"/>
      <c r="F697" s="166"/>
    </row>
    <row r="698" spans="1:7" ht="15" x14ac:dyDescent="0.25">
      <c r="A698" s="24" t="s">
        <v>70</v>
      </c>
      <c r="B698" s="44"/>
      <c r="C698" s="45"/>
      <c r="D698" s="25"/>
      <c r="E698" s="261"/>
      <c r="F698" s="168"/>
    </row>
    <row r="699" spans="1:7" x14ac:dyDescent="0.2">
      <c r="A699" s="27" t="s">
        <v>70</v>
      </c>
      <c r="B699" s="44">
        <v>11327.304895833335</v>
      </c>
      <c r="C699" s="45">
        <v>1.6</v>
      </c>
      <c r="D699" s="25" t="s">
        <v>102</v>
      </c>
      <c r="E699" s="261">
        <v>0</v>
      </c>
      <c r="F699" s="168">
        <f>+B699*C699*(1+E699)</f>
        <v>18123.687833333337</v>
      </c>
    </row>
    <row r="700" spans="1:7" ht="15" thickBot="1" x14ac:dyDescent="0.25">
      <c r="A700" s="27"/>
      <c r="B700" s="44"/>
      <c r="C700" s="45"/>
      <c r="D700" s="25"/>
      <c r="E700" s="261"/>
      <c r="F700" s="168"/>
    </row>
    <row r="701" spans="1:7" ht="15.75" thickBot="1" x14ac:dyDescent="0.3">
      <c r="A701" s="30"/>
      <c r="B701" s="52"/>
      <c r="C701" s="53"/>
      <c r="D701" s="31"/>
      <c r="E701" s="263" t="s">
        <v>241</v>
      </c>
      <c r="F701" s="169">
        <f>SUM(F684:F699)</f>
        <v>72283.902183333339</v>
      </c>
    </row>
    <row r="703" spans="1:7" ht="15" thickBot="1" x14ac:dyDescent="0.25"/>
    <row r="704" spans="1:7" x14ac:dyDescent="0.2">
      <c r="A704" s="16" t="s">
        <v>260</v>
      </c>
      <c r="B704" s="33"/>
      <c r="C704" s="34"/>
      <c r="D704" s="17"/>
      <c r="E704" s="257"/>
      <c r="F704" s="164"/>
    </row>
    <row r="705" spans="1:7" ht="25.5" x14ac:dyDescent="0.2">
      <c r="A705" s="90" t="s">
        <v>264</v>
      </c>
      <c r="B705" s="91"/>
      <c r="C705" s="92"/>
      <c r="D705" s="19" t="s">
        <v>233</v>
      </c>
      <c r="E705" s="258" t="s">
        <v>2</v>
      </c>
      <c r="F705" s="165"/>
    </row>
    <row r="706" spans="1:7" ht="15" thickBot="1" x14ac:dyDescent="0.25">
      <c r="A706" s="20"/>
      <c r="B706" s="37"/>
      <c r="C706" s="38"/>
      <c r="D706" s="21"/>
      <c r="E706" s="259"/>
      <c r="F706" s="166"/>
    </row>
    <row r="707" spans="1:7" ht="15" thickBot="1" x14ac:dyDescent="0.25">
      <c r="A707" s="22" t="s">
        <v>234</v>
      </c>
      <c r="B707" s="41" t="s">
        <v>235</v>
      </c>
      <c r="C707" s="42" t="s">
        <v>236</v>
      </c>
      <c r="D707" s="23" t="s">
        <v>237</v>
      </c>
      <c r="E707" s="260" t="s">
        <v>67</v>
      </c>
      <c r="F707" s="167" t="s">
        <v>238</v>
      </c>
    </row>
    <row r="708" spans="1:7" ht="15.75" thickTop="1" x14ac:dyDescent="0.25">
      <c r="A708" s="24" t="s">
        <v>239</v>
      </c>
      <c r="B708" s="44"/>
      <c r="C708" s="45"/>
      <c r="D708" s="25"/>
      <c r="E708" s="261"/>
      <c r="F708" s="168"/>
    </row>
    <row r="709" spans="1:7" x14ac:dyDescent="0.2">
      <c r="A709" s="27" t="s">
        <v>149</v>
      </c>
      <c r="B709" s="44">
        <f>(46925*1.19)/6</f>
        <v>9306.7916666666661</v>
      </c>
      <c r="C709" s="54">
        <v>3</v>
      </c>
      <c r="D709" s="25" t="s">
        <v>101</v>
      </c>
      <c r="E709" s="261">
        <v>0.03</v>
      </c>
      <c r="F709" s="168">
        <f t="shared" ref="F709:F714" si="12">+B709*C709*(1+E709)</f>
        <v>28757.986250000002</v>
      </c>
    </row>
    <row r="710" spans="1:7" x14ac:dyDescent="0.2">
      <c r="A710" s="27" t="s">
        <v>154</v>
      </c>
      <c r="B710" s="44">
        <f>2104*1.19</f>
        <v>2503.7599999999998</v>
      </c>
      <c r="C710" s="54">
        <v>1</v>
      </c>
      <c r="D710" s="25" t="s">
        <v>101</v>
      </c>
      <c r="E710" s="261">
        <v>0</v>
      </c>
      <c r="F710" s="168">
        <f t="shared" si="12"/>
        <v>2503.7599999999998</v>
      </c>
    </row>
    <row r="711" spans="1:7" x14ac:dyDescent="0.2">
      <c r="A711" s="27" t="s">
        <v>122</v>
      </c>
      <c r="B711" s="44">
        <v>38000</v>
      </c>
      <c r="C711" s="54">
        <v>6.6666666666666666E-2</v>
      </c>
      <c r="D711" s="25" t="s">
        <v>110</v>
      </c>
      <c r="E711" s="261">
        <v>0.03</v>
      </c>
      <c r="F711" s="168">
        <f t="shared" si="12"/>
        <v>2609.3333333333335</v>
      </c>
    </row>
    <row r="712" spans="1:7" x14ac:dyDescent="0.2">
      <c r="A712" s="27" t="s">
        <v>123</v>
      </c>
      <c r="B712" s="44">
        <v>62900</v>
      </c>
      <c r="C712" s="54">
        <v>6.6666666666666666E-2</v>
      </c>
      <c r="D712" s="25" t="s">
        <v>110</v>
      </c>
      <c r="E712" s="261">
        <v>0.03</v>
      </c>
      <c r="F712" s="168">
        <f t="shared" si="12"/>
        <v>4319.1333333333332</v>
      </c>
    </row>
    <row r="713" spans="1:7" x14ac:dyDescent="0.2">
      <c r="A713" s="27" t="s">
        <v>155</v>
      </c>
      <c r="B713" s="44">
        <f>7722*1.19</f>
        <v>9189.18</v>
      </c>
      <c r="C713" s="54">
        <v>1</v>
      </c>
      <c r="D713" s="25" t="s">
        <v>101</v>
      </c>
      <c r="E713" s="261">
        <v>0</v>
      </c>
      <c r="F713" s="168">
        <f t="shared" si="12"/>
        <v>9189.18</v>
      </c>
    </row>
    <row r="714" spans="1:7" x14ac:dyDescent="0.2">
      <c r="A714" s="27" t="s">
        <v>150</v>
      </c>
      <c r="B714" s="44">
        <f>2513*1.19</f>
        <v>2990.47</v>
      </c>
      <c r="C714" s="54">
        <v>1</v>
      </c>
      <c r="D714" s="25" t="s">
        <v>101</v>
      </c>
      <c r="E714" s="261">
        <v>0</v>
      </c>
      <c r="F714" s="168">
        <f t="shared" si="12"/>
        <v>2990.47</v>
      </c>
    </row>
    <row r="715" spans="1:7" ht="15" thickBot="1" x14ac:dyDescent="0.25">
      <c r="A715" s="20"/>
      <c r="B715" s="39"/>
      <c r="C715" s="38"/>
      <c r="D715" s="21"/>
      <c r="E715" s="259"/>
      <c r="F715" s="166"/>
      <c r="G715" s="15">
        <f>SUM(F709:F714)</f>
        <v>50369.862916666665</v>
      </c>
    </row>
    <row r="716" spans="1:7" ht="15" x14ac:dyDescent="0.25">
      <c r="A716" s="28" t="s">
        <v>240</v>
      </c>
      <c r="B716" s="49"/>
      <c r="C716" s="50"/>
      <c r="D716" s="29"/>
      <c r="E716" s="262"/>
      <c r="F716" s="164"/>
    </row>
    <row r="717" spans="1:7" x14ac:dyDescent="0.2">
      <c r="A717" s="27" t="s">
        <v>158</v>
      </c>
      <c r="B717" s="44">
        <v>2518.4931458333335</v>
      </c>
      <c r="C717" s="45">
        <v>1</v>
      </c>
      <c r="D717" s="25" t="s">
        <v>101</v>
      </c>
      <c r="E717" s="261">
        <v>0</v>
      </c>
      <c r="F717" s="168">
        <f>+B717*C717*(1+E717)</f>
        <v>2518.4931458333335</v>
      </c>
    </row>
    <row r="718" spans="1:7" x14ac:dyDescent="0.2">
      <c r="A718" s="27"/>
      <c r="B718" s="44"/>
      <c r="C718" s="45"/>
      <c r="D718" s="25"/>
      <c r="E718" s="261"/>
      <c r="F718" s="168"/>
    </row>
    <row r="719" spans="1:7" ht="15" thickBot="1" x14ac:dyDescent="0.25">
      <c r="A719" s="20"/>
      <c r="B719" s="39"/>
      <c r="C719" s="38"/>
      <c r="D719" s="21"/>
      <c r="E719" s="259"/>
      <c r="F719" s="166"/>
    </row>
    <row r="720" spans="1:7" ht="15" x14ac:dyDescent="0.25">
      <c r="A720" s="28" t="s">
        <v>116</v>
      </c>
      <c r="B720" s="49"/>
      <c r="C720" s="50"/>
      <c r="D720" s="29"/>
      <c r="E720" s="262"/>
      <c r="F720" s="164"/>
    </row>
    <row r="721" spans="1:6" x14ac:dyDescent="0.2">
      <c r="A721" s="27" t="s">
        <v>92</v>
      </c>
      <c r="B721" s="44">
        <v>1511.0958874999999</v>
      </c>
      <c r="C721" s="45">
        <v>1</v>
      </c>
      <c r="D721" s="25" t="s">
        <v>101</v>
      </c>
      <c r="E721" s="261">
        <v>0</v>
      </c>
      <c r="F721" s="168">
        <f>+B721*C721*(1+E721)</f>
        <v>1511.0958874999999</v>
      </c>
    </row>
    <row r="722" spans="1:6" ht="15" thickBot="1" x14ac:dyDescent="0.25">
      <c r="A722" s="20"/>
      <c r="B722" s="39"/>
      <c r="C722" s="38"/>
      <c r="D722" s="21"/>
      <c r="E722" s="259"/>
      <c r="F722" s="166"/>
    </row>
    <row r="723" spans="1:6" ht="15" x14ac:dyDescent="0.25">
      <c r="A723" s="24" t="s">
        <v>70</v>
      </c>
      <c r="B723" s="44"/>
      <c r="C723" s="45"/>
      <c r="D723" s="25"/>
      <c r="E723" s="261"/>
      <c r="F723" s="168"/>
    </row>
    <row r="724" spans="1:6" x14ac:dyDescent="0.2">
      <c r="A724" s="27" t="s">
        <v>70</v>
      </c>
      <c r="B724" s="44">
        <v>11327.304895833335</v>
      </c>
      <c r="C724" s="45">
        <v>1.6</v>
      </c>
      <c r="D724" s="25" t="s">
        <v>102</v>
      </c>
      <c r="E724" s="261">
        <v>0</v>
      </c>
      <c r="F724" s="168">
        <f>+B724*C724*(1+E724)</f>
        <v>18123.687833333337</v>
      </c>
    </row>
    <row r="725" spans="1:6" ht="15" thickBot="1" x14ac:dyDescent="0.25">
      <c r="A725" s="27"/>
      <c r="B725" s="44"/>
      <c r="C725" s="45"/>
      <c r="D725" s="25"/>
      <c r="E725" s="261"/>
      <c r="F725" s="168"/>
    </row>
    <row r="726" spans="1:6" ht="15.75" thickBot="1" x14ac:dyDescent="0.3">
      <c r="A726" s="30"/>
      <c r="B726" s="52"/>
      <c r="C726" s="53"/>
      <c r="D726" s="31"/>
      <c r="E726" s="263" t="s">
        <v>241</v>
      </c>
      <c r="F726" s="169">
        <f>SUM(F709:F724)</f>
        <v>72523.139783333332</v>
      </c>
    </row>
    <row r="728" spans="1:6" ht="15" thickBot="1" x14ac:dyDescent="0.25"/>
    <row r="729" spans="1:6" x14ac:dyDescent="0.2">
      <c r="A729" s="16" t="s">
        <v>260</v>
      </c>
      <c r="B729" s="33"/>
      <c r="C729" s="34"/>
      <c r="D729" s="17"/>
      <c r="E729" s="257"/>
      <c r="F729" s="164"/>
    </row>
    <row r="730" spans="1:6" ht="25.5" x14ac:dyDescent="0.2">
      <c r="A730" s="90" t="s">
        <v>265</v>
      </c>
      <c r="B730" s="91"/>
      <c r="C730" s="92"/>
      <c r="D730" s="19" t="s">
        <v>233</v>
      </c>
      <c r="E730" s="258" t="s">
        <v>2</v>
      </c>
      <c r="F730" s="165"/>
    </row>
    <row r="731" spans="1:6" ht="15" thickBot="1" x14ac:dyDescent="0.25">
      <c r="A731" s="20"/>
      <c r="B731" s="37"/>
      <c r="C731" s="38"/>
      <c r="D731" s="21"/>
      <c r="E731" s="259"/>
      <c r="F731" s="166"/>
    </row>
    <row r="732" spans="1:6" ht="15" thickBot="1" x14ac:dyDescent="0.25">
      <c r="A732" s="22" t="s">
        <v>234</v>
      </c>
      <c r="B732" s="41" t="s">
        <v>235</v>
      </c>
      <c r="C732" s="42" t="s">
        <v>236</v>
      </c>
      <c r="D732" s="23" t="s">
        <v>237</v>
      </c>
      <c r="E732" s="260" t="s">
        <v>67</v>
      </c>
      <c r="F732" s="167" t="s">
        <v>238</v>
      </c>
    </row>
    <row r="733" spans="1:6" ht="15.75" thickTop="1" x14ac:dyDescent="0.25">
      <c r="A733" s="24" t="s">
        <v>239</v>
      </c>
      <c r="B733" s="44"/>
      <c r="C733" s="45"/>
      <c r="D733" s="25"/>
      <c r="E733" s="261"/>
      <c r="F733" s="168"/>
    </row>
    <row r="734" spans="1:6" x14ac:dyDescent="0.2">
      <c r="A734" s="27" t="s">
        <v>149</v>
      </c>
      <c r="B734" s="44">
        <f>(46925*1.19)/6</f>
        <v>9306.7916666666661</v>
      </c>
      <c r="C734" s="54">
        <v>3</v>
      </c>
      <c r="D734" s="25" t="s">
        <v>101</v>
      </c>
      <c r="E734" s="261">
        <v>0.03</v>
      </c>
      <c r="F734" s="168">
        <f t="shared" ref="F734:F739" si="13">+B734*C734*(1+E734)</f>
        <v>28757.986250000002</v>
      </c>
    </row>
    <row r="735" spans="1:6" x14ac:dyDescent="0.2">
      <c r="A735" s="27" t="s">
        <v>154</v>
      </c>
      <c r="B735" s="44">
        <f>2104*1.19</f>
        <v>2503.7599999999998</v>
      </c>
      <c r="C735" s="54">
        <v>1</v>
      </c>
      <c r="D735" s="25" t="s">
        <v>101</v>
      </c>
      <c r="E735" s="261">
        <v>0</v>
      </c>
      <c r="F735" s="168">
        <f t="shared" si="13"/>
        <v>2503.7599999999998</v>
      </c>
    </row>
    <row r="736" spans="1:6" x14ac:dyDescent="0.2">
      <c r="A736" s="27" t="s">
        <v>122</v>
      </c>
      <c r="B736" s="44">
        <v>38000</v>
      </c>
      <c r="C736" s="54">
        <v>6.6666666666666666E-2</v>
      </c>
      <c r="D736" s="25" t="s">
        <v>110</v>
      </c>
      <c r="E736" s="261">
        <v>0.03</v>
      </c>
      <c r="F736" s="168">
        <f t="shared" si="13"/>
        <v>2609.3333333333335</v>
      </c>
    </row>
    <row r="737" spans="1:7" x14ac:dyDescent="0.2">
      <c r="A737" s="27" t="s">
        <v>123</v>
      </c>
      <c r="B737" s="44">
        <v>62900</v>
      </c>
      <c r="C737" s="54">
        <v>6.6666666666666666E-2</v>
      </c>
      <c r="D737" s="25" t="s">
        <v>110</v>
      </c>
      <c r="E737" s="261">
        <v>0.03</v>
      </c>
      <c r="F737" s="168">
        <f t="shared" si="13"/>
        <v>4319.1333333333332</v>
      </c>
    </row>
    <row r="738" spans="1:7" x14ac:dyDescent="0.2">
      <c r="A738" s="27" t="s">
        <v>155</v>
      </c>
      <c r="B738" s="44">
        <f>7722*1.19</f>
        <v>9189.18</v>
      </c>
      <c r="C738" s="54">
        <v>1</v>
      </c>
      <c r="D738" s="25" t="s">
        <v>101</v>
      </c>
      <c r="E738" s="261">
        <v>0</v>
      </c>
      <c r="F738" s="168">
        <f t="shared" si="13"/>
        <v>9189.18</v>
      </c>
    </row>
    <row r="739" spans="1:7" x14ac:dyDescent="0.2">
      <c r="A739" s="27" t="s">
        <v>150</v>
      </c>
      <c r="B739" s="44">
        <f>2513*1.19</f>
        <v>2990.47</v>
      </c>
      <c r="C739" s="54">
        <v>1</v>
      </c>
      <c r="D739" s="25" t="s">
        <v>101</v>
      </c>
      <c r="E739" s="261">
        <v>0</v>
      </c>
      <c r="F739" s="168">
        <f t="shared" si="13"/>
        <v>2990.47</v>
      </c>
    </row>
    <row r="740" spans="1:7" ht="15" thickBot="1" x14ac:dyDescent="0.25">
      <c r="A740" s="20"/>
      <c r="B740" s="39"/>
      <c r="C740" s="38"/>
      <c r="D740" s="21"/>
      <c r="E740" s="259"/>
      <c r="F740" s="166"/>
      <c r="G740" s="15">
        <f>SUM(F734:F739)</f>
        <v>50369.862916666665</v>
      </c>
    </row>
    <row r="741" spans="1:7" ht="15" x14ac:dyDescent="0.25">
      <c r="A741" s="28" t="s">
        <v>240</v>
      </c>
      <c r="B741" s="49"/>
      <c r="C741" s="50"/>
      <c r="D741" s="29"/>
      <c r="E741" s="262"/>
      <c r="F741" s="164"/>
    </row>
    <row r="742" spans="1:7" x14ac:dyDescent="0.2">
      <c r="A742" s="27" t="s">
        <v>158</v>
      </c>
      <c r="B742" s="44">
        <v>2518.4931458333335</v>
      </c>
      <c r="C742" s="45">
        <v>1</v>
      </c>
      <c r="D742" s="25" t="s">
        <v>101</v>
      </c>
      <c r="E742" s="261">
        <v>0</v>
      </c>
      <c r="F742" s="168">
        <f>+B742*C742*(1+E742)</f>
        <v>2518.4931458333335</v>
      </c>
    </row>
    <row r="743" spans="1:7" x14ac:dyDescent="0.2">
      <c r="A743" s="27"/>
      <c r="B743" s="44"/>
      <c r="C743" s="45"/>
      <c r="D743" s="25"/>
      <c r="E743" s="261"/>
      <c r="F743" s="168"/>
    </row>
    <row r="744" spans="1:7" ht="15" thickBot="1" x14ac:dyDescent="0.25">
      <c r="A744" s="20"/>
      <c r="B744" s="39"/>
      <c r="C744" s="38"/>
      <c r="D744" s="21"/>
      <c r="E744" s="259"/>
      <c r="F744" s="166"/>
    </row>
    <row r="745" spans="1:7" ht="15" x14ac:dyDescent="0.25">
      <c r="A745" s="28" t="s">
        <v>116</v>
      </c>
      <c r="B745" s="49"/>
      <c r="C745" s="50"/>
      <c r="D745" s="29"/>
      <c r="E745" s="262"/>
      <c r="F745" s="164"/>
    </row>
    <row r="746" spans="1:7" x14ac:dyDescent="0.2">
      <c r="A746" s="27" t="s">
        <v>92</v>
      </c>
      <c r="B746" s="44">
        <v>1511.0958874999999</v>
      </c>
      <c r="C746" s="45">
        <v>1</v>
      </c>
      <c r="D746" s="25" t="s">
        <v>101</v>
      </c>
      <c r="E746" s="261">
        <v>0</v>
      </c>
      <c r="F746" s="168">
        <f>+B746*C746*(1+E746)</f>
        <v>1511.0958874999999</v>
      </c>
    </row>
    <row r="747" spans="1:7" ht="15" thickBot="1" x14ac:dyDescent="0.25">
      <c r="A747" s="20"/>
      <c r="B747" s="39"/>
      <c r="C747" s="38"/>
      <c r="D747" s="21"/>
      <c r="E747" s="259"/>
      <c r="F747" s="166"/>
    </row>
    <row r="748" spans="1:7" ht="15" x14ac:dyDescent="0.25">
      <c r="A748" s="24" t="s">
        <v>70</v>
      </c>
      <c r="B748" s="44"/>
      <c r="C748" s="45"/>
      <c r="D748" s="25"/>
      <c r="E748" s="261"/>
      <c r="F748" s="168"/>
    </row>
    <row r="749" spans="1:7" x14ac:dyDescent="0.2">
      <c r="A749" s="27" t="s">
        <v>70</v>
      </c>
      <c r="B749" s="44">
        <v>11327.304895833335</v>
      </c>
      <c r="C749" s="45">
        <v>1.6</v>
      </c>
      <c r="D749" s="25" t="s">
        <v>102</v>
      </c>
      <c r="E749" s="261">
        <v>0</v>
      </c>
      <c r="F749" s="168">
        <f>+B749*C749*(1+E749)</f>
        <v>18123.687833333337</v>
      </c>
    </row>
    <row r="750" spans="1:7" ht="15" thickBot="1" x14ac:dyDescent="0.25">
      <c r="A750" s="27"/>
      <c r="B750" s="44"/>
      <c r="C750" s="45"/>
      <c r="D750" s="25"/>
      <c r="E750" s="261"/>
      <c r="F750" s="168"/>
    </row>
    <row r="751" spans="1:7" ht="15.75" thickBot="1" x14ac:dyDescent="0.3">
      <c r="A751" s="30"/>
      <c r="B751" s="52"/>
      <c r="C751" s="53"/>
      <c r="D751" s="31"/>
      <c r="E751" s="263" t="s">
        <v>241</v>
      </c>
      <c r="F751" s="169">
        <f>SUM(F734:F749)</f>
        <v>72523.139783333332</v>
      </c>
    </row>
    <row r="753" spans="1:7" ht="15" thickBot="1" x14ac:dyDescent="0.25"/>
    <row r="754" spans="1:7" x14ac:dyDescent="0.2">
      <c r="A754" s="16" t="s">
        <v>260</v>
      </c>
      <c r="B754" s="33"/>
      <c r="C754" s="34"/>
      <c r="D754" s="17"/>
      <c r="E754" s="257"/>
      <c r="F754" s="164"/>
    </row>
    <row r="755" spans="1:7" ht="25.5" x14ac:dyDescent="0.2">
      <c r="A755" s="90" t="s">
        <v>266</v>
      </c>
      <c r="B755" s="91"/>
      <c r="C755" s="92"/>
      <c r="D755" s="19" t="s">
        <v>233</v>
      </c>
      <c r="E755" s="258" t="s">
        <v>2</v>
      </c>
      <c r="F755" s="165"/>
    </row>
    <row r="756" spans="1:7" ht="15" thickBot="1" x14ac:dyDescent="0.25">
      <c r="A756" s="20"/>
      <c r="B756" s="37"/>
      <c r="C756" s="38"/>
      <c r="D756" s="21"/>
      <c r="E756" s="259"/>
      <c r="F756" s="166"/>
    </row>
    <row r="757" spans="1:7" ht="15" thickBot="1" x14ac:dyDescent="0.25">
      <c r="A757" s="22" t="s">
        <v>234</v>
      </c>
      <c r="B757" s="41" t="s">
        <v>235</v>
      </c>
      <c r="C757" s="42" t="s">
        <v>236</v>
      </c>
      <c r="D757" s="23" t="s">
        <v>237</v>
      </c>
      <c r="E757" s="260" t="s">
        <v>67</v>
      </c>
      <c r="F757" s="167" t="s">
        <v>238</v>
      </c>
    </row>
    <row r="758" spans="1:7" ht="15.75" thickTop="1" x14ac:dyDescent="0.25">
      <c r="A758" s="24" t="s">
        <v>239</v>
      </c>
      <c r="B758" s="44"/>
      <c r="C758" s="45"/>
      <c r="D758" s="25"/>
      <c r="E758" s="261"/>
      <c r="F758" s="168"/>
    </row>
    <row r="759" spans="1:7" x14ac:dyDescent="0.2">
      <c r="A759" s="27" t="s">
        <v>149</v>
      </c>
      <c r="B759" s="44">
        <f>(46925*1.19)/6</f>
        <v>9306.7916666666661</v>
      </c>
      <c r="C759" s="54">
        <v>3</v>
      </c>
      <c r="D759" s="25" t="s">
        <v>82</v>
      </c>
      <c r="E759" s="261">
        <v>0.03</v>
      </c>
      <c r="F759" s="168">
        <f t="shared" ref="F759:F764" si="14">+B759*C759*(1+E759)</f>
        <v>28757.986250000002</v>
      </c>
    </row>
    <row r="760" spans="1:7" x14ac:dyDescent="0.2">
      <c r="A760" s="27" t="s">
        <v>154</v>
      </c>
      <c r="B760" s="44">
        <f>2104*1.19</f>
        <v>2503.7599999999998</v>
      </c>
      <c r="C760" s="54">
        <v>1</v>
      </c>
      <c r="D760" s="25" t="s">
        <v>101</v>
      </c>
      <c r="E760" s="261">
        <v>0</v>
      </c>
      <c r="F760" s="168">
        <f t="shared" si="14"/>
        <v>2503.7599999999998</v>
      </c>
    </row>
    <row r="761" spans="1:7" x14ac:dyDescent="0.2">
      <c r="A761" s="27" t="s">
        <v>122</v>
      </c>
      <c r="B761" s="44">
        <v>38000</v>
      </c>
      <c r="C761" s="54">
        <v>6.6666666666666666E-2</v>
      </c>
      <c r="D761" s="25" t="s">
        <v>103</v>
      </c>
      <c r="E761" s="261">
        <v>0.03</v>
      </c>
      <c r="F761" s="168">
        <f t="shared" si="14"/>
        <v>2609.3333333333335</v>
      </c>
    </row>
    <row r="762" spans="1:7" x14ac:dyDescent="0.2">
      <c r="A762" s="27" t="s">
        <v>123</v>
      </c>
      <c r="B762" s="44">
        <v>62900</v>
      </c>
      <c r="C762" s="54">
        <v>6.6666666666666666E-2</v>
      </c>
      <c r="D762" s="25" t="s">
        <v>103</v>
      </c>
      <c r="E762" s="261">
        <v>0.03</v>
      </c>
      <c r="F762" s="168">
        <f t="shared" si="14"/>
        <v>4319.1333333333332</v>
      </c>
    </row>
    <row r="763" spans="1:7" x14ac:dyDescent="0.2">
      <c r="A763" s="27" t="s">
        <v>155</v>
      </c>
      <c r="B763" s="44">
        <f>7722*1.19</f>
        <v>9189.18</v>
      </c>
      <c r="C763" s="54">
        <v>1</v>
      </c>
      <c r="D763" s="25" t="s">
        <v>101</v>
      </c>
      <c r="E763" s="261">
        <v>0</v>
      </c>
      <c r="F763" s="168">
        <f t="shared" si="14"/>
        <v>9189.18</v>
      </c>
    </row>
    <row r="764" spans="1:7" x14ac:dyDescent="0.2">
      <c r="A764" s="27" t="s">
        <v>150</v>
      </c>
      <c r="B764" s="44">
        <f>2513*1.19</f>
        <v>2990.47</v>
      </c>
      <c r="C764" s="54">
        <v>1</v>
      </c>
      <c r="D764" s="25" t="s">
        <v>101</v>
      </c>
      <c r="E764" s="261">
        <v>0</v>
      </c>
      <c r="F764" s="168">
        <f t="shared" si="14"/>
        <v>2990.47</v>
      </c>
    </row>
    <row r="765" spans="1:7" ht="15" thickBot="1" x14ac:dyDescent="0.25">
      <c r="A765" s="20"/>
      <c r="B765" s="39"/>
      <c r="C765" s="38"/>
      <c r="D765" s="21"/>
      <c r="E765" s="259"/>
      <c r="F765" s="166"/>
      <c r="G765" s="55">
        <f>SUM(F759:F764)</f>
        <v>50369.862916666665</v>
      </c>
    </row>
    <row r="766" spans="1:7" ht="15" x14ac:dyDescent="0.25">
      <c r="A766" s="28" t="s">
        <v>240</v>
      </c>
      <c r="B766" s="49"/>
      <c r="C766" s="50"/>
      <c r="D766" s="29"/>
      <c r="E766" s="262"/>
      <c r="F766" s="164"/>
    </row>
    <row r="767" spans="1:7" x14ac:dyDescent="0.2">
      <c r="A767" s="27" t="s">
        <v>158</v>
      </c>
      <c r="B767" s="44">
        <v>2518.4931458333335</v>
      </c>
      <c r="C767" s="45">
        <v>1</v>
      </c>
      <c r="D767" s="25" t="s">
        <v>101</v>
      </c>
      <c r="E767" s="261">
        <v>0</v>
      </c>
      <c r="F767" s="168">
        <f>+B767*C767*(1+E767)</f>
        <v>2518.4931458333335</v>
      </c>
    </row>
    <row r="768" spans="1:7" x14ac:dyDescent="0.2">
      <c r="A768" s="27"/>
      <c r="B768" s="44"/>
      <c r="C768" s="45"/>
      <c r="D768" s="25"/>
      <c r="E768" s="261"/>
      <c r="F768" s="168"/>
    </row>
    <row r="769" spans="1:6" ht="15" thickBot="1" x14ac:dyDescent="0.25">
      <c r="A769" s="20"/>
      <c r="B769" s="39"/>
      <c r="C769" s="38"/>
      <c r="D769" s="21"/>
      <c r="E769" s="259"/>
      <c r="F769" s="166"/>
    </row>
    <row r="770" spans="1:6" ht="15" x14ac:dyDescent="0.25">
      <c r="A770" s="28" t="s">
        <v>116</v>
      </c>
      <c r="B770" s="49"/>
      <c r="C770" s="50"/>
      <c r="D770" s="29"/>
      <c r="E770" s="262"/>
      <c r="F770" s="164"/>
    </row>
    <row r="771" spans="1:6" x14ac:dyDescent="0.2">
      <c r="A771" s="27" t="s">
        <v>92</v>
      </c>
      <c r="B771" s="44">
        <v>1511.0958874999999</v>
      </c>
      <c r="C771" s="45">
        <v>1</v>
      </c>
      <c r="D771" s="25" t="s">
        <v>85</v>
      </c>
      <c r="E771" s="261">
        <v>0</v>
      </c>
      <c r="F771" s="168">
        <f>+B771*C771*(1+E771)</f>
        <v>1511.0958874999999</v>
      </c>
    </row>
    <row r="772" spans="1:6" ht="15" thickBot="1" x14ac:dyDescent="0.25">
      <c r="A772" s="20"/>
      <c r="B772" s="39"/>
      <c r="C772" s="38"/>
      <c r="D772" s="21"/>
      <c r="E772" s="259"/>
      <c r="F772" s="166"/>
    </row>
    <row r="773" spans="1:6" ht="15" x14ac:dyDescent="0.25">
      <c r="A773" s="24" t="s">
        <v>70</v>
      </c>
      <c r="B773" s="44"/>
      <c r="C773" s="45"/>
      <c r="D773" s="25"/>
      <c r="E773" s="261"/>
      <c r="F773" s="168"/>
    </row>
    <row r="774" spans="1:6" x14ac:dyDescent="0.2">
      <c r="A774" s="27" t="s">
        <v>70</v>
      </c>
      <c r="B774" s="44">
        <v>11327.304895833335</v>
      </c>
      <c r="C774" s="45">
        <v>2</v>
      </c>
      <c r="D774" s="25" t="s">
        <v>102</v>
      </c>
      <c r="E774" s="261">
        <v>0</v>
      </c>
      <c r="F774" s="168">
        <f>+B774*C774*(1+E774)</f>
        <v>22654.609791666669</v>
      </c>
    </row>
    <row r="775" spans="1:6" ht="15" thickBot="1" x14ac:dyDescent="0.25">
      <c r="A775" s="27"/>
      <c r="B775" s="44"/>
      <c r="C775" s="45"/>
      <c r="D775" s="25"/>
      <c r="E775" s="261"/>
      <c r="F775" s="168"/>
    </row>
    <row r="776" spans="1:6" ht="15.75" thickBot="1" x14ac:dyDescent="0.3">
      <c r="A776" s="30"/>
      <c r="B776" s="52"/>
      <c r="C776" s="53"/>
      <c r="D776" s="31"/>
      <c r="E776" s="263" t="s">
        <v>241</v>
      </c>
      <c r="F776" s="169">
        <f>SUM(F759:F774)</f>
        <v>77054.061741666665</v>
      </c>
    </row>
    <row r="778" spans="1:6" ht="15" thickBot="1" x14ac:dyDescent="0.25"/>
    <row r="779" spans="1:6" x14ac:dyDescent="0.2">
      <c r="A779" s="16" t="s">
        <v>260</v>
      </c>
      <c r="B779" s="33"/>
      <c r="C779" s="34"/>
      <c r="D779" s="17"/>
      <c r="E779" s="257"/>
      <c r="F779" s="164"/>
    </row>
    <row r="780" spans="1:6" ht="25.5" x14ac:dyDescent="0.2">
      <c r="A780" s="90" t="s">
        <v>267</v>
      </c>
      <c r="B780" s="91"/>
      <c r="C780" s="92"/>
      <c r="D780" s="19" t="s">
        <v>233</v>
      </c>
      <c r="E780" s="258" t="s">
        <v>2</v>
      </c>
      <c r="F780" s="165"/>
    </row>
    <row r="781" spans="1:6" ht="15" thickBot="1" x14ac:dyDescent="0.25">
      <c r="A781" s="20"/>
      <c r="B781" s="37"/>
      <c r="C781" s="38"/>
      <c r="D781" s="21"/>
      <c r="E781" s="259"/>
      <c r="F781" s="166"/>
    </row>
    <row r="782" spans="1:6" ht="15" thickBot="1" x14ac:dyDescent="0.25">
      <c r="A782" s="22" t="s">
        <v>234</v>
      </c>
      <c r="B782" s="41" t="s">
        <v>235</v>
      </c>
      <c r="C782" s="42" t="s">
        <v>236</v>
      </c>
      <c r="D782" s="23" t="s">
        <v>237</v>
      </c>
      <c r="E782" s="260" t="s">
        <v>67</v>
      </c>
      <c r="F782" s="167" t="s">
        <v>238</v>
      </c>
    </row>
    <row r="783" spans="1:6" ht="15.75" thickTop="1" x14ac:dyDescent="0.25">
      <c r="A783" s="24" t="s">
        <v>239</v>
      </c>
      <c r="B783" s="44"/>
      <c r="C783" s="45"/>
      <c r="D783" s="25"/>
      <c r="E783" s="261"/>
      <c r="F783" s="168"/>
    </row>
    <row r="784" spans="1:6" x14ac:dyDescent="0.2">
      <c r="A784" s="27" t="s">
        <v>148</v>
      </c>
      <c r="B784" s="44">
        <f>(97678*1.19)/9</f>
        <v>12915.202222222222</v>
      </c>
      <c r="C784" s="54">
        <v>3</v>
      </c>
      <c r="D784" s="25" t="s">
        <v>82</v>
      </c>
      <c r="E784" s="261">
        <v>0.03</v>
      </c>
      <c r="F784" s="168">
        <f>+B784*C784*(1+E784)</f>
        <v>39907.974866666671</v>
      </c>
    </row>
    <row r="785" spans="1:7" x14ac:dyDescent="0.2">
      <c r="A785" s="27" t="s">
        <v>122</v>
      </c>
      <c r="B785" s="44">
        <v>38000</v>
      </c>
      <c r="C785" s="54">
        <v>6.6666666666666666E-2</v>
      </c>
      <c r="D785" s="25" t="s">
        <v>101</v>
      </c>
      <c r="E785" s="261">
        <v>0.03</v>
      </c>
      <c r="F785" s="168">
        <f>+B785*C785*(1+E785)</f>
        <v>2609.3333333333335</v>
      </c>
    </row>
    <row r="786" spans="1:7" x14ac:dyDescent="0.2">
      <c r="A786" s="27" t="s">
        <v>123</v>
      </c>
      <c r="B786" s="44">
        <v>62900</v>
      </c>
      <c r="C786" s="54">
        <v>6.6666666666666666E-2</v>
      </c>
      <c r="D786" s="25" t="s">
        <v>103</v>
      </c>
      <c r="E786" s="261">
        <v>0.03</v>
      </c>
      <c r="F786" s="168">
        <f>+B786*C786*(1+E786)</f>
        <v>4319.1333333333332</v>
      </c>
    </row>
    <row r="787" spans="1:7" x14ac:dyDescent="0.2">
      <c r="A787" s="27" t="s">
        <v>156</v>
      </c>
      <c r="B787" s="44">
        <f>8398*1.19</f>
        <v>9993.619999999999</v>
      </c>
      <c r="C787" s="54">
        <v>1</v>
      </c>
      <c r="D787" s="25" t="s">
        <v>103</v>
      </c>
      <c r="E787" s="261"/>
      <c r="F787" s="168">
        <f>+B787*C787*(1+E787)</f>
        <v>9993.619999999999</v>
      </c>
    </row>
    <row r="788" spans="1:7" x14ac:dyDescent="0.2">
      <c r="A788" s="27" t="s">
        <v>157</v>
      </c>
      <c r="B788" s="44">
        <f>17096*1.19</f>
        <v>20344.239999999998</v>
      </c>
      <c r="C788" s="54">
        <v>1</v>
      </c>
      <c r="D788" s="25" t="s">
        <v>101</v>
      </c>
      <c r="E788" s="261"/>
      <c r="F788" s="168">
        <f>+B788*C788*(1+E788)</f>
        <v>20344.239999999998</v>
      </c>
    </row>
    <row r="789" spans="1:7" ht="15" thickBot="1" x14ac:dyDescent="0.25">
      <c r="A789" s="20"/>
      <c r="B789" s="39"/>
      <c r="C789" s="38"/>
      <c r="D789" s="21"/>
      <c r="E789" s="259"/>
      <c r="F789" s="166"/>
      <c r="G789" s="55">
        <f>SUM(F784:F788)</f>
        <v>77174.301533333346</v>
      </c>
    </row>
    <row r="790" spans="1:7" ht="15" x14ac:dyDescent="0.25">
      <c r="A790" s="28" t="s">
        <v>240</v>
      </c>
      <c r="B790" s="49"/>
      <c r="C790" s="50"/>
      <c r="D790" s="29"/>
      <c r="E790" s="262"/>
      <c r="F790" s="164"/>
    </row>
    <row r="791" spans="1:7" x14ac:dyDescent="0.2">
      <c r="A791" s="27" t="s">
        <v>158</v>
      </c>
      <c r="B791" s="83">
        <v>3858.7150766666673</v>
      </c>
      <c r="C791" s="45">
        <v>1</v>
      </c>
      <c r="D791" s="25" t="s">
        <v>101</v>
      </c>
      <c r="E791" s="261">
        <v>0</v>
      </c>
      <c r="F791" s="168">
        <f>+B791*C791*(1+E791)</f>
        <v>3858.7150766666673</v>
      </c>
    </row>
    <row r="792" spans="1:7" x14ac:dyDescent="0.2">
      <c r="A792" s="27"/>
      <c r="B792" s="44"/>
      <c r="C792" s="45"/>
      <c r="D792" s="25"/>
      <c r="E792" s="261"/>
      <c r="F792" s="168"/>
    </row>
    <row r="793" spans="1:7" ht="15" thickBot="1" x14ac:dyDescent="0.25">
      <c r="A793" s="20"/>
      <c r="B793" s="39"/>
      <c r="C793" s="38"/>
      <c r="D793" s="21"/>
      <c r="E793" s="259"/>
      <c r="F793" s="166"/>
    </row>
    <row r="794" spans="1:7" ht="15" x14ac:dyDescent="0.25">
      <c r="A794" s="28" t="s">
        <v>116</v>
      </c>
      <c r="B794" s="49"/>
      <c r="C794" s="50"/>
      <c r="D794" s="29"/>
      <c r="E794" s="262"/>
      <c r="F794" s="164"/>
    </row>
    <row r="795" spans="1:7" x14ac:dyDescent="0.2">
      <c r="A795" s="27" t="s">
        <v>92</v>
      </c>
      <c r="B795" s="83">
        <v>2315.2290460000004</v>
      </c>
      <c r="C795" s="45">
        <v>1</v>
      </c>
      <c r="D795" s="25" t="s">
        <v>85</v>
      </c>
      <c r="E795" s="261">
        <v>0</v>
      </c>
      <c r="F795" s="168">
        <f>+B795*C795*(1+E795)</f>
        <v>2315.2290460000004</v>
      </c>
    </row>
    <row r="796" spans="1:7" ht="15" thickBot="1" x14ac:dyDescent="0.25">
      <c r="A796" s="20"/>
      <c r="B796" s="39"/>
      <c r="C796" s="38"/>
      <c r="D796" s="21"/>
      <c r="E796" s="259"/>
      <c r="F796" s="166"/>
    </row>
    <row r="797" spans="1:7" ht="15" x14ac:dyDescent="0.25">
      <c r="A797" s="24" t="s">
        <v>70</v>
      </c>
      <c r="B797" s="44"/>
      <c r="C797" s="45"/>
      <c r="D797" s="25"/>
      <c r="E797" s="261"/>
      <c r="F797" s="168"/>
    </row>
    <row r="798" spans="1:7" x14ac:dyDescent="0.2">
      <c r="A798" s="27" t="s">
        <v>70</v>
      </c>
      <c r="B798" s="44">
        <v>11327.304895833335</v>
      </c>
      <c r="C798" s="45">
        <v>3.3</v>
      </c>
      <c r="D798" s="25" t="s">
        <v>102</v>
      </c>
      <c r="E798" s="261">
        <v>0</v>
      </c>
      <c r="F798" s="168">
        <f>+B798*C798*(1+E798)</f>
        <v>37380.106156250004</v>
      </c>
    </row>
    <row r="799" spans="1:7" ht="15" thickBot="1" x14ac:dyDescent="0.25">
      <c r="A799" s="27"/>
      <c r="B799" s="44"/>
      <c r="C799" s="45"/>
      <c r="D799" s="25"/>
      <c r="E799" s="261"/>
      <c r="F799" s="168"/>
    </row>
    <row r="800" spans="1:7" ht="15.75" thickBot="1" x14ac:dyDescent="0.3">
      <c r="A800" s="30"/>
      <c r="B800" s="52"/>
      <c r="C800" s="53"/>
      <c r="D800" s="31"/>
      <c r="E800" s="263" t="s">
        <v>241</v>
      </c>
      <c r="F800" s="169">
        <f>SUM(F784:F798)</f>
        <v>120728.35181225001</v>
      </c>
    </row>
    <row r="802" spans="1:7" ht="15" thickBot="1" x14ac:dyDescent="0.25"/>
    <row r="803" spans="1:7" x14ac:dyDescent="0.2">
      <c r="A803" s="16" t="s">
        <v>260</v>
      </c>
      <c r="B803" s="33"/>
      <c r="C803" s="34"/>
      <c r="D803" s="17"/>
      <c r="E803" s="257"/>
      <c r="F803" s="164"/>
    </row>
    <row r="804" spans="1:7" ht="25.5" x14ac:dyDescent="0.2">
      <c r="A804" s="90" t="s">
        <v>268</v>
      </c>
      <c r="B804" s="91"/>
      <c r="C804" s="92"/>
      <c r="D804" s="19" t="s">
        <v>233</v>
      </c>
      <c r="E804" s="258" t="s">
        <v>80</v>
      </c>
      <c r="F804" s="165"/>
    </row>
    <row r="805" spans="1:7" ht="15" thickBot="1" x14ac:dyDescent="0.25">
      <c r="A805" s="20"/>
      <c r="B805" s="37"/>
      <c r="C805" s="38"/>
      <c r="D805" s="21"/>
      <c r="E805" s="259"/>
      <c r="F805" s="166"/>
    </row>
    <row r="806" spans="1:7" ht="15" thickBot="1" x14ac:dyDescent="0.25">
      <c r="A806" s="22" t="s">
        <v>234</v>
      </c>
      <c r="B806" s="41" t="s">
        <v>235</v>
      </c>
      <c r="C806" s="42" t="s">
        <v>236</v>
      </c>
      <c r="D806" s="23" t="s">
        <v>237</v>
      </c>
      <c r="E806" s="260" t="s">
        <v>67</v>
      </c>
      <c r="F806" s="167" t="s">
        <v>238</v>
      </c>
    </row>
    <row r="807" spans="1:7" ht="15.75" thickTop="1" x14ac:dyDescent="0.25">
      <c r="A807" s="24" t="s">
        <v>239</v>
      </c>
      <c r="B807" s="44"/>
      <c r="C807" s="45"/>
      <c r="D807" s="25"/>
      <c r="E807" s="261"/>
      <c r="F807" s="168"/>
    </row>
    <row r="808" spans="1:7" x14ac:dyDescent="0.2">
      <c r="A808" s="27" t="s">
        <v>148</v>
      </c>
      <c r="B808" s="44">
        <f>(97678*1.19)/9</f>
        <v>12915.202222222222</v>
      </c>
      <c r="C808" s="389">
        <v>1</v>
      </c>
      <c r="D808" s="25" t="s">
        <v>82</v>
      </c>
      <c r="E808" s="261">
        <v>0.03</v>
      </c>
      <c r="F808" s="168">
        <f>+B808*C808*(1+E808)</f>
        <v>13302.65828888889</v>
      </c>
    </row>
    <row r="809" spans="1:7" x14ac:dyDescent="0.2">
      <c r="A809" s="27" t="s">
        <v>122</v>
      </c>
      <c r="B809" s="44">
        <v>38000</v>
      </c>
      <c r="C809" s="54">
        <v>6.6666666666666666E-2</v>
      </c>
      <c r="D809" s="25" t="s">
        <v>101</v>
      </c>
      <c r="E809" s="261">
        <v>0.03</v>
      </c>
      <c r="F809" s="168">
        <f>+B809*C809*(1+E809)</f>
        <v>2609.3333333333335</v>
      </c>
    </row>
    <row r="810" spans="1:7" x14ac:dyDescent="0.2">
      <c r="A810" s="27" t="s">
        <v>123</v>
      </c>
      <c r="B810" s="44">
        <v>62900</v>
      </c>
      <c r="C810" s="54">
        <v>6.6666666666666666E-2</v>
      </c>
      <c r="D810" s="25" t="s">
        <v>103</v>
      </c>
      <c r="E810" s="261">
        <v>0.03</v>
      </c>
      <c r="F810" s="168">
        <f>+B810*C810*(1+E810)</f>
        <v>4319.1333333333332</v>
      </c>
    </row>
    <row r="811" spans="1:7" x14ac:dyDescent="0.2">
      <c r="A811" s="27" t="s">
        <v>156</v>
      </c>
      <c r="B811" s="44">
        <f>8398*1.19</f>
        <v>9993.619999999999</v>
      </c>
      <c r="C811" s="54">
        <v>1</v>
      </c>
      <c r="D811" s="25" t="s">
        <v>103</v>
      </c>
      <c r="E811" s="261"/>
      <c r="F811" s="168">
        <f>+B811*C811*(1+E811)</f>
        <v>9993.619999999999</v>
      </c>
    </row>
    <row r="812" spans="1:7" ht="15" thickBot="1" x14ac:dyDescent="0.25">
      <c r="A812" s="20"/>
      <c r="B812" s="39"/>
      <c r="C812" s="38"/>
      <c r="D812" s="21"/>
      <c r="E812" s="259"/>
      <c r="F812" s="166"/>
      <c r="G812" s="55">
        <f>SUM(F808:F811)</f>
        <v>30224.744955555554</v>
      </c>
    </row>
    <row r="813" spans="1:7" ht="15" x14ac:dyDescent="0.25">
      <c r="A813" s="28" t="s">
        <v>240</v>
      </c>
      <c r="B813" s="49"/>
      <c r="C813" s="50"/>
      <c r="D813" s="29"/>
      <c r="E813" s="262"/>
      <c r="F813" s="164"/>
    </row>
    <row r="814" spans="1:7" x14ac:dyDescent="0.2">
      <c r="A814" s="27" t="s">
        <v>158</v>
      </c>
      <c r="B814" s="83">
        <v>2841.5030766666673</v>
      </c>
      <c r="C814" s="45">
        <v>1</v>
      </c>
      <c r="D814" s="25" t="s">
        <v>101</v>
      </c>
      <c r="E814" s="261">
        <v>0</v>
      </c>
      <c r="F814" s="168">
        <f>+B814*C814*(1+E814)</f>
        <v>2841.5030766666673</v>
      </c>
    </row>
    <row r="815" spans="1:7" x14ac:dyDescent="0.2">
      <c r="A815" s="27"/>
      <c r="B815" s="44"/>
      <c r="C815" s="45"/>
      <c r="D815" s="25"/>
      <c r="E815" s="261"/>
      <c r="F815" s="168"/>
    </row>
    <row r="816" spans="1:7" ht="15" thickBot="1" x14ac:dyDescent="0.25">
      <c r="A816" s="20"/>
      <c r="B816" s="39"/>
      <c r="C816" s="38"/>
      <c r="D816" s="21"/>
      <c r="E816" s="259"/>
      <c r="F816" s="166"/>
    </row>
    <row r="817" spans="1:8" ht="15" x14ac:dyDescent="0.25">
      <c r="A817" s="28" t="s">
        <v>116</v>
      </c>
      <c r="B817" s="49"/>
      <c r="C817" s="50"/>
      <c r="D817" s="29"/>
      <c r="E817" s="262"/>
      <c r="F817" s="164"/>
    </row>
    <row r="818" spans="1:8" x14ac:dyDescent="0.2">
      <c r="A818" s="27" t="s">
        <v>92</v>
      </c>
      <c r="B818" s="83">
        <v>1704.9018460000002</v>
      </c>
      <c r="C818" s="45">
        <v>1</v>
      </c>
      <c r="D818" s="25" t="s">
        <v>85</v>
      </c>
      <c r="E818" s="261">
        <v>0</v>
      </c>
      <c r="F818" s="168">
        <f>+B818*C818*(1+E818)</f>
        <v>1704.9018460000002</v>
      </c>
    </row>
    <row r="819" spans="1:8" ht="15" thickBot="1" x14ac:dyDescent="0.25">
      <c r="A819" s="20"/>
      <c r="B819" s="39"/>
      <c r="C819" s="38"/>
      <c r="D819" s="21"/>
      <c r="E819" s="259"/>
      <c r="F819" s="166"/>
    </row>
    <row r="820" spans="1:8" ht="15" x14ac:dyDescent="0.25">
      <c r="A820" s="24" t="s">
        <v>70</v>
      </c>
      <c r="B820" s="44"/>
      <c r="C820" s="45"/>
      <c r="D820" s="25"/>
      <c r="E820" s="261"/>
      <c r="F820" s="168"/>
    </row>
    <row r="821" spans="1:8" x14ac:dyDescent="0.2">
      <c r="A821" s="27" t="s">
        <v>70</v>
      </c>
      <c r="B821" s="44">
        <v>11327.304895833335</v>
      </c>
      <c r="C821" s="45">
        <v>0.9</v>
      </c>
      <c r="D821" s="25" t="s">
        <v>102</v>
      </c>
      <c r="E821" s="261">
        <v>0</v>
      </c>
      <c r="F821" s="168">
        <f>+B821*C821*(1+E821)</f>
        <v>10194.574406250002</v>
      </c>
    </row>
    <row r="822" spans="1:8" ht="15" thickBot="1" x14ac:dyDescent="0.25">
      <c r="A822" s="27"/>
      <c r="B822" s="44"/>
      <c r="C822" s="45"/>
      <c r="D822" s="25"/>
      <c r="E822" s="261"/>
      <c r="F822" s="168"/>
    </row>
    <row r="823" spans="1:8" ht="15.75" thickBot="1" x14ac:dyDescent="0.3">
      <c r="A823" s="30"/>
      <c r="B823" s="52"/>
      <c r="C823" s="53"/>
      <c r="D823" s="31"/>
      <c r="E823" s="263" t="s">
        <v>241</v>
      </c>
      <c r="F823" s="169">
        <f>SUM(F808:F821)</f>
        <v>44965.72428447222</v>
      </c>
    </row>
    <row r="825" spans="1:8" ht="15" thickBot="1" x14ac:dyDescent="0.25"/>
    <row r="826" spans="1:8" x14ac:dyDescent="0.2">
      <c r="A826" s="16" t="s">
        <v>260</v>
      </c>
      <c r="B826" s="33"/>
      <c r="C826" s="34"/>
      <c r="D826" s="17"/>
      <c r="E826" s="257"/>
      <c r="F826" s="164"/>
    </row>
    <row r="827" spans="1:8" x14ac:dyDescent="0.2">
      <c r="A827" s="90" t="s">
        <v>269</v>
      </c>
      <c r="B827" s="91"/>
      <c r="C827" s="92"/>
      <c r="D827" s="19" t="s">
        <v>233</v>
      </c>
      <c r="E827" s="258" t="s">
        <v>80</v>
      </c>
      <c r="F827" s="165"/>
      <c r="H827" s="15">
        <f>+'PRESUPUESTO RESUMEN'!S65</f>
        <v>246.45400000000001</v>
      </c>
    </row>
    <row r="828" spans="1:8" ht="15" thickBot="1" x14ac:dyDescent="0.25">
      <c r="A828" s="20"/>
      <c r="B828" s="37"/>
      <c r="C828" s="38"/>
      <c r="D828" s="21"/>
      <c r="E828" s="259"/>
      <c r="F828" s="166"/>
    </row>
    <row r="829" spans="1:8" ht="15" thickBot="1" x14ac:dyDescent="0.25">
      <c r="A829" s="22" t="s">
        <v>234</v>
      </c>
      <c r="B829" s="41" t="s">
        <v>235</v>
      </c>
      <c r="C829" s="42" t="s">
        <v>236</v>
      </c>
      <c r="D829" s="23" t="s">
        <v>237</v>
      </c>
      <c r="E829" s="260" t="s">
        <v>67</v>
      </c>
      <c r="F829" s="167" t="s">
        <v>238</v>
      </c>
    </row>
    <row r="830" spans="1:8" ht="15.75" thickTop="1" x14ac:dyDescent="0.25">
      <c r="A830" s="24" t="s">
        <v>239</v>
      </c>
      <c r="B830" s="44"/>
      <c r="C830" s="45"/>
      <c r="D830" s="25"/>
      <c r="E830" s="261"/>
      <c r="F830" s="168"/>
    </row>
    <row r="831" spans="1:8" x14ac:dyDescent="0.2">
      <c r="A831" s="27" t="s">
        <v>148</v>
      </c>
      <c r="B831" s="44">
        <f>(97678*1.09)/9</f>
        <v>11829.891111111112</v>
      </c>
      <c r="C831" s="389">
        <v>1</v>
      </c>
      <c r="D831" s="25" t="s">
        <v>82</v>
      </c>
      <c r="E831" s="261">
        <v>0.03</v>
      </c>
      <c r="F831" s="168">
        <f>+B831*C831*(1+E831)</f>
        <v>12184.787844444445</v>
      </c>
    </row>
    <row r="832" spans="1:8" x14ac:dyDescent="0.2">
      <c r="A832" s="27" t="s">
        <v>122</v>
      </c>
      <c r="B832" s="44">
        <v>38000</v>
      </c>
      <c r="C832" s="54">
        <v>6.6666666666666666E-2</v>
      </c>
      <c r="D832" s="25" t="s">
        <v>101</v>
      </c>
      <c r="E832" s="261">
        <v>0</v>
      </c>
      <c r="F832" s="168">
        <f>+B832*C832*(1+E832)</f>
        <v>2533.3333333333335</v>
      </c>
    </row>
    <row r="833" spans="1:8" x14ac:dyDescent="0.2">
      <c r="A833" s="27" t="s">
        <v>123</v>
      </c>
      <c r="B833" s="44">
        <v>62900</v>
      </c>
      <c r="C833" s="54">
        <v>6.6666666666666666E-2</v>
      </c>
      <c r="D833" s="25" t="s">
        <v>103</v>
      </c>
      <c r="E833" s="261">
        <v>0</v>
      </c>
      <c r="F833" s="168">
        <f>+B833*C833*(1+E833)</f>
        <v>4193.333333333333</v>
      </c>
    </row>
    <row r="834" spans="1:8" x14ac:dyDescent="0.2">
      <c r="A834" s="27" t="s">
        <v>156</v>
      </c>
      <c r="B834" s="44">
        <f>8398*1.19</f>
        <v>9993.619999999999</v>
      </c>
      <c r="C834" s="54">
        <f>+H834/H827</f>
        <v>5.2748180187783517E-2</v>
      </c>
      <c r="D834" s="25" t="s">
        <v>103</v>
      </c>
      <c r="E834" s="261">
        <v>0</v>
      </c>
      <c r="F834" s="168">
        <f>+B834*C834*(1+E834)</f>
        <v>527.14526848823709</v>
      </c>
      <c r="H834" s="15">
        <v>13</v>
      </c>
    </row>
    <row r="835" spans="1:8" x14ac:dyDescent="0.2">
      <c r="A835" s="27" t="s">
        <v>157</v>
      </c>
      <c r="B835" s="44">
        <f>17096*1.09</f>
        <v>18634.640000000003</v>
      </c>
      <c r="C835" s="54">
        <f>+H835/H827</f>
        <v>3.2460418577097548E-2</v>
      </c>
      <c r="D835" s="25" t="s">
        <v>101</v>
      </c>
      <c r="E835" s="261">
        <v>0</v>
      </c>
      <c r="F835" s="168">
        <f>+B835*C835*(1+E835)</f>
        <v>604.88821443352515</v>
      </c>
      <c r="H835" s="15">
        <v>8</v>
      </c>
    </row>
    <row r="836" spans="1:8" ht="15" thickBot="1" x14ac:dyDescent="0.25">
      <c r="A836" s="20"/>
      <c r="B836" s="39"/>
      <c r="C836" s="38"/>
      <c r="D836" s="21"/>
      <c r="E836" s="259"/>
      <c r="F836" s="166"/>
      <c r="G836" s="55">
        <f>SUM(F831:F835)</f>
        <v>20043.487994032876</v>
      </c>
    </row>
    <row r="837" spans="1:8" ht="15" x14ac:dyDescent="0.25">
      <c r="A837" s="28" t="s">
        <v>240</v>
      </c>
      <c r="B837" s="49"/>
      <c r="C837" s="50"/>
      <c r="D837" s="29"/>
      <c r="E837" s="262"/>
      <c r="F837" s="164"/>
    </row>
    <row r="838" spans="1:8" x14ac:dyDescent="0.2">
      <c r="A838" s="27" t="s">
        <v>158</v>
      </c>
      <c r="B838" s="83">
        <v>2848.6250766666699</v>
      </c>
      <c r="C838" s="45">
        <v>1</v>
      </c>
      <c r="D838" s="25" t="s">
        <v>101</v>
      </c>
      <c r="E838" s="261">
        <v>0</v>
      </c>
      <c r="F838" s="168">
        <f>+B838*C838*(1+E838)</f>
        <v>2848.6250766666699</v>
      </c>
    </row>
    <row r="839" spans="1:8" x14ac:dyDescent="0.2">
      <c r="A839" s="27"/>
      <c r="B839" s="44"/>
      <c r="C839" s="45"/>
      <c r="D839" s="25"/>
      <c r="E839" s="261"/>
      <c r="F839" s="168"/>
    </row>
    <row r="840" spans="1:8" ht="15" thickBot="1" x14ac:dyDescent="0.25">
      <c r="A840" s="20"/>
      <c r="B840" s="39"/>
      <c r="C840" s="38"/>
      <c r="D840" s="21"/>
      <c r="E840" s="259"/>
      <c r="F840" s="166"/>
    </row>
    <row r="841" spans="1:8" ht="15" x14ac:dyDescent="0.25">
      <c r="A841" s="28" t="s">
        <v>116</v>
      </c>
      <c r="B841" s="49"/>
      <c r="C841" s="50"/>
      <c r="D841" s="29"/>
      <c r="E841" s="262"/>
      <c r="F841" s="164"/>
    </row>
    <row r="842" spans="1:8" x14ac:dyDescent="0.2">
      <c r="A842" s="27" t="s">
        <v>92</v>
      </c>
      <c r="B842" s="83">
        <v>2309.1750459999998</v>
      </c>
      <c r="C842" s="45">
        <v>1</v>
      </c>
      <c r="D842" s="25" t="s">
        <v>85</v>
      </c>
      <c r="E842" s="261">
        <v>0</v>
      </c>
      <c r="F842" s="168">
        <f>+B842*C842*(1+E842)</f>
        <v>2309.1750459999998</v>
      </c>
    </row>
    <row r="843" spans="1:8" ht="15" thickBot="1" x14ac:dyDescent="0.25">
      <c r="A843" s="20"/>
      <c r="B843" s="39"/>
      <c r="C843" s="38"/>
      <c r="D843" s="21"/>
      <c r="E843" s="259"/>
      <c r="F843" s="166"/>
    </row>
    <row r="844" spans="1:8" ht="15" x14ac:dyDescent="0.25">
      <c r="A844" s="24" t="s">
        <v>70</v>
      </c>
      <c r="B844" s="44"/>
      <c r="C844" s="45"/>
      <c r="D844" s="25"/>
      <c r="E844" s="261"/>
      <c r="F844" s="168"/>
    </row>
    <row r="845" spans="1:8" x14ac:dyDescent="0.2">
      <c r="A845" s="27" t="s">
        <v>70</v>
      </c>
      <c r="B845" s="44">
        <v>11327.304895833335</v>
      </c>
      <c r="C845" s="45">
        <v>1.2</v>
      </c>
      <c r="D845" s="25" t="s">
        <v>102</v>
      </c>
      <c r="E845" s="261">
        <v>0</v>
      </c>
      <c r="F845" s="168">
        <f>+B845*C845*(1+E845)</f>
        <v>13592.765875000001</v>
      </c>
    </row>
    <row r="846" spans="1:8" ht="15" thickBot="1" x14ac:dyDescent="0.25">
      <c r="A846" s="27"/>
      <c r="B846" s="44"/>
      <c r="C846" s="45"/>
      <c r="D846" s="25"/>
      <c r="E846" s="261"/>
      <c r="F846" s="168"/>
    </row>
    <row r="847" spans="1:8" ht="15.75" thickBot="1" x14ac:dyDescent="0.3">
      <c r="A847" s="30"/>
      <c r="B847" s="52"/>
      <c r="C847" s="53"/>
      <c r="D847" s="31"/>
      <c r="E847" s="263" t="s">
        <v>241</v>
      </c>
      <c r="F847" s="169">
        <f>SUM(F831:F845)</f>
        <v>38794.053991699548</v>
      </c>
    </row>
    <row r="849" spans="1:7" ht="15" thickBot="1" x14ac:dyDescent="0.25"/>
    <row r="850" spans="1:7" x14ac:dyDescent="0.2">
      <c r="A850" s="16" t="s">
        <v>260</v>
      </c>
      <c r="B850" s="33"/>
      <c r="C850" s="34"/>
      <c r="D850" s="17"/>
      <c r="E850" s="257"/>
      <c r="F850" s="164"/>
    </row>
    <row r="851" spans="1:7" x14ac:dyDescent="0.2">
      <c r="A851" s="90" t="s">
        <v>377</v>
      </c>
      <c r="B851" s="91"/>
      <c r="C851" s="92"/>
      <c r="D851" s="19" t="s">
        <v>233</v>
      </c>
      <c r="E851" s="258" t="s">
        <v>2</v>
      </c>
      <c r="F851" s="165"/>
    </row>
    <row r="852" spans="1:7" ht="15" thickBot="1" x14ac:dyDescent="0.25">
      <c r="A852" s="20"/>
      <c r="B852" s="37"/>
      <c r="C852" s="38"/>
      <c r="D852" s="21"/>
      <c r="E852" s="259"/>
      <c r="F852" s="166"/>
    </row>
    <row r="853" spans="1:7" ht="15" thickBot="1" x14ac:dyDescent="0.25">
      <c r="A853" s="22" t="s">
        <v>234</v>
      </c>
      <c r="B853" s="41" t="s">
        <v>235</v>
      </c>
      <c r="C853" s="42" t="s">
        <v>236</v>
      </c>
      <c r="D853" s="23" t="s">
        <v>237</v>
      </c>
      <c r="E853" s="260" t="s">
        <v>67</v>
      </c>
      <c r="F853" s="167" t="s">
        <v>238</v>
      </c>
    </row>
    <row r="854" spans="1:7" ht="15.75" thickTop="1" x14ac:dyDescent="0.25">
      <c r="A854" s="24" t="s">
        <v>239</v>
      </c>
      <c r="B854" s="44"/>
      <c r="C854" s="45"/>
      <c r="D854" s="25"/>
      <c r="E854" s="261"/>
      <c r="F854" s="168"/>
    </row>
    <row r="855" spans="1:7" x14ac:dyDescent="0.2">
      <c r="A855" s="27" t="s">
        <v>321</v>
      </c>
      <c r="B855" s="44">
        <v>20990</v>
      </c>
      <c r="C855" s="54">
        <v>1</v>
      </c>
      <c r="D855" s="25" t="s">
        <v>101</v>
      </c>
      <c r="E855" s="261">
        <v>0</v>
      </c>
      <c r="F855" s="168">
        <f>+B855*C855*(1+E855)</f>
        <v>20990</v>
      </c>
    </row>
    <row r="856" spans="1:7" ht="15" thickBot="1" x14ac:dyDescent="0.25">
      <c r="A856" s="20"/>
      <c r="B856" s="39"/>
      <c r="C856" s="38"/>
      <c r="D856" s="21"/>
      <c r="E856" s="259"/>
      <c r="F856" s="166"/>
      <c r="G856" s="55">
        <f>SUM(F855:F855)</f>
        <v>20990</v>
      </c>
    </row>
    <row r="857" spans="1:7" ht="15" x14ac:dyDescent="0.25">
      <c r="A857" s="28" t="s">
        <v>240</v>
      </c>
      <c r="B857" s="49"/>
      <c r="C857" s="50"/>
      <c r="D857" s="29"/>
      <c r="E857" s="262"/>
      <c r="F857" s="164"/>
    </row>
    <row r="858" spans="1:7" x14ac:dyDescent="0.2">
      <c r="A858" s="27" t="s">
        <v>158</v>
      </c>
      <c r="B858" s="83">
        <v>1049.5</v>
      </c>
      <c r="C858" s="45">
        <v>1</v>
      </c>
      <c r="D858" s="25" t="s">
        <v>101</v>
      </c>
      <c r="E858" s="261">
        <v>0</v>
      </c>
      <c r="F858" s="168">
        <f>+B858*C858*(1+E858)</f>
        <v>1049.5</v>
      </c>
    </row>
    <row r="859" spans="1:7" x14ac:dyDescent="0.2">
      <c r="A859" s="27"/>
      <c r="B859" s="44"/>
      <c r="C859" s="45"/>
      <c r="D859" s="25"/>
      <c r="E859" s="261"/>
      <c r="F859" s="168"/>
    </row>
    <row r="860" spans="1:7" ht="15" thickBot="1" x14ac:dyDescent="0.25">
      <c r="A860" s="20"/>
      <c r="B860" s="39"/>
      <c r="C860" s="38"/>
      <c r="D860" s="21"/>
      <c r="E860" s="259"/>
      <c r="F860" s="166"/>
    </row>
    <row r="861" spans="1:7" ht="15" x14ac:dyDescent="0.25">
      <c r="A861" s="28" t="s">
        <v>116</v>
      </c>
      <c r="B861" s="49"/>
      <c r="C861" s="50"/>
      <c r="D861" s="29"/>
      <c r="E861" s="262"/>
      <c r="F861" s="164"/>
    </row>
    <row r="862" spans="1:7" x14ac:dyDescent="0.2">
      <c r="A862" s="27" t="s">
        <v>92</v>
      </c>
      <c r="B862" s="83">
        <v>629.69999999999993</v>
      </c>
      <c r="C862" s="45">
        <v>1</v>
      </c>
      <c r="D862" s="25" t="s">
        <v>101</v>
      </c>
      <c r="E862" s="261">
        <v>0</v>
      </c>
      <c r="F862" s="168">
        <f>+B862*C862*(1+E862)</f>
        <v>629.69999999999993</v>
      </c>
    </row>
    <row r="863" spans="1:7" ht="15" thickBot="1" x14ac:dyDescent="0.25">
      <c r="A863" s="20"/>
      <c r="B863" s="39"/>
      <c r="C863" s="38"/>
      <c r="D863" s="21"/>
      <c r="E863" s="259"/>
      <c r="F863" s="166"/>
    </row>
    <row r="864" spans="1:7" ht="15" x14ac:dyDescent="0.25">
      <c r="A864" s="24" t="s">
        <v>70</v>
      </c>
      <c r="B864" s="44"/>
      <c r="C864" s="45"/>
      <c r="D864" s="25"/>
      <c r="E864" s="261"/>
      <c r="F864" s="168"/>
    </row>
    <row r="865" spans="1:10" x14ac:dyDescent="0.2">
      <c r="A865" s="27" t="s">
        <v>70</v>
      </c>
      <c r="B865" s="44">
        <v>11327.304895833335</v>
      </c>
      <c r="C865" s="45">
        <v>0.1</v>
      </c>
      <c r="D865" s="25" t="s">
        <v>102</v>
      </c>
      <c r="E865" s="261">
        <v>0</v>
      </c>
      <c r="F865" s="168">
        <f>+B865*C865*(1+E865)</f>
        <v>1132.7304895833336</v>
      </c>
    </row>
    <row r="866" spans="1:10" ht="15" thickBot="1" x14ac:dyDescent="0.25">
      <c r="A866" s="27"/>
      <c r="B866" s="44"/>
      <c r="C866" s="45"/>
      <c r="D866" s="25"/>
      <c r="E866" s="261"/>
      <c r="F866" s="168"/>
    </row>
    <row r="867" spans="1:10" ht="15.75" thickBot="1" x14ac:dyDescent="0.3">
      <c r="A867" s="30"/>
      <c r="B867" s="52"/>
      <c r="C867" s="53"/>
      <c r="D867" s="31"/>
      <c r="E867" s="263" t="s">
        <v>241</v>
      </c>
      <c r="F867" s="169">
        <f>SUM(F855:F865)</f>
        <v>23801.930489583334</v>
      </c>
    </row>
    <row r="869" spans="1:10" ht="15" thickBot="1" x14ac:dyDescent="0.25"/>
    <row r="870" spans="1:10" x14ac:dyDescent="0.2">
      <c r="A870" s="16" t="s">
        <v>260</v>
      </c>
      <c r="B870" s="33"/>
      <c r="C870" s="34"/>
      <c r="D870" s="17"/>
      <c r="E870" s="257"/>
      <c r="F870" s="164"/>
    </row>
    <row r="871" spans="1:10" ht="25.5" x14ac:dyDescent="0.2">
      <c r="A871" s="90" t="s">
        <v>447</v>
      </c>
      <c r="B871" s="91"/>
      <c r="C871" s="92"/>
      <c r="D871" s="19" t="s">
        <v>233</v>
      </c>
      <c r="E871" s="258" t="s">
        <v>2</v>
      </c>
      <c r="F871" s="165"/>
    </row>
    <row r="872" spans="1:10" ht="15" thickBot="1" x14ac:dyDescent="0.25">
      <c r="A872" s="20"/>
      <c r="B872" s="37"/>
      <c r="C872" s="38"/>
      <c r="D872" s="21"/>
      <c r="E872" s="259"/>
      <c r="F872" s="166"/>
    </row>
    <row r="873" spans="1:10" ht="15" thickBot="1" x14ac:dyDescent="0.25">
      <c r="A873" s="22" t="s">
        <v>234</v>
      </c>
      <c r="B873" s="41" t="s">
        <v>235</v>
      </c>
      <c r="C873" s="42" t="s">
        <v>236</v>
      </c>
      <c r="D873" s="23" t="s">
        <v>237</v>
      </c>
      <c r="E873" s="260" t="s">
        <v>67</v>
      </c>
      <c r="F873" s="167" t="s">
        <v>238</v>
      </c>
    </row>
    <row r="874" spans="1:10" ht="15.75" thickTop="1" x14ac:dyDescent="0.25">
      <c r="A874" s="24" t="s">
        <v>239</v>
      </c>
      <c r="B874" s="44"/>
      <c r="C874" s="45"/>
      <c r="D874" s="25"/>
      <c r="E874" s="261"/>
      <c r="F874" s="168"/>
    </row>
    <row r="875" spans="1:10" x14ac:dyDescent="0.2">
      <c r="A875" s="27" t="s">
        <v>378</v>
      </c>
      <c r="B875" s="84">
        <v>143840</v>
      </c>
      <c r="C875" s="54">
        <v>1</v>
      </c>
      <c r="D875" s="25" t="s">
        <v>285</v>
      </c>
      <c r="E875" s="261">
        <v>0</v>
      </c>
      <c r="F875" s="168">
        <f>+B875*C875*(1+E875)</f>
        <v>143840</v>
      </c>
    </row>
    <row r="876" spans="1:10" x14ac:dyDescent="0.2">
      <c r="A876" s="27" t="s">
        <v>379</v>
      </c>
      <c r="B876" s="84">
        <v>117379.47368421052</v>
      </c>
      <c r="C876" s="54">
        <v>4.5</v>
      </c>
      <c r="D876" s="25" t="s">
        <v>381</v>
      </c>
      <c r="E876" s="261">
        <v>0.05</v>
      </c>
      <c r="F876" s="168">
        <f>+B876*C876*(1+E876)</f>
        <v>554618.01315789472</v>
      </c>
    </row>
    <row r="877" spans="1:10" x14ac:dyDescent="0.2">
      <c r="A877" s="27" t="s">
        <v>380</v>
      </c>
      <c r="B877" s="84">
        <v>13332.105263157895</v>
      </c>
      <c r="C877" s="54">
        <v>4.5</v>
      </c>
      <c r="D877" s="25" t="s">
        <v>381</v>
      </c>
      <c r="E877" s="261">
        <v>0.05</v>
      </c>
      <c r="F877" s="168">
        <f>+B877*C877*(1+E877)</f>
        <v>62994.197368421053</v>
      </c>
      <c r="J877" s="15">
        <f>0.24*0.115</f>
        <v>2.76E-2</v>
      </c>
    </row>
    <row r="878" spans="1:10" ht="15" thickBot="1" x14ac:dyDescent="0.25">
      <c r="A878" s="20"/>
      <c r="B878" s="39"/>
      <c r="C878" s="38"/>
      <c r="D878" s="21"/>
      <c r="E878" s="259"/>
      <c r="F878" s="166"/>
      <c r="G878" s="55">
        <f>SUM(F875:F877)</f>
        <v>761452.21052631573</v>
      </c>
      <c r="J878" s="15">
        <f>1/J877</f>
        <v>36.231884057971016</v>
      </c>
    </row>
    <row r="879" spans="1:10" ht="15" x14ac:dyDescent="0.25">
      <c r="A879" s="28" t="s">
        <v>240</v>
      </c>
      <c r="B879" s="49"/>
      <c r="C879" s="50"/>
      <c r="D879" s="29"/>
      <c r="E879" s="262"/>
      <c r="F879" s="164"/>
    </row>
    <row r="880" spans="1:10" x14ac:dyDescent="0.2">
      <c r="A880" s="27" t="s">
        <v>158</v>
      </c>
      <c r="B880" s="83">
        <v>38072.610526315788</v>
      </c>
      <c r="C880" s="45">
        <v>1</v>
      </c>
      <c r="D880" s="25" t="s">
        <v>101</v>
      </c>
      <c r="E880" s="261">
        <v>0</v>
      </c>
      <c r="F880" s="168">
        <f>+B880*C880*(1+E880)</f>
        <v>38072.610526315788</v>
      </c>
      <c r="J880" s="15">
        <f>36*480</f>
        <v>17280</v>
      </c>
    </row>
    <row r="881" spans="1:6" x14ac:dyDescent="0.2">
      <c r="A881" s="27"/>
      <c r="B881" s="44"/>
      <c r="C881" s="45"/>
      <c r="D881" s="25"/>
      <c r="E881" s="261"/>
      <c r="F881" s="168"/>
    </row>
    <row r="882" spans="1:6" ht="15" thickBot="1" x14ac:dyDescent="0.25">
      <c r="A882" s="20"/>
      <c r="B882" s="39"/>
      <c r="C882" s="38"/>
      <c r="D882" s="21"/>
      <c r="E882" s="259"/>
      <c r="F882" s="166"/>
    </row>
    <row r="883" spans="1:6" ht="15" x14ac:dyDescent="0.25">
      <c r="A883" s="28" t="s">
        <v>116</v>
      </c>
      <c r="B883" s="49"/>
      <c r="C883" s="50"/>
      <c r="D883" s="29"/>
      <c r="E883" s="262"/>
      <c r="F883" s="164"/>
    </row>
    <row r="884" spans="1:6" x14ac:dyDescent="0.2">
      <c r="A884" s="27" t="s">
        <v>92</v>
      </c>
      <c r="B884" s="83">
        <v>22843.566315789471</v>
      </c>
      <c r="C884" s="45">
        <v>1</v>
      </c>
      <c r="D884" s="25" t="s">
        <v>101</v>
      </c>
      <c r="E884" s="261">
        <v>0</v>
      </c>
      <c r="F884" s="168">
        <f>+B884*C884*(1+E884)</f>
        <v>22843.566315789471</v>
      </c>
    </row>
    <row r="885" spans="1:6" ht="15" thickBot="1" x14ac:dyDescent="0.25">
      <c r="A885" s="20"/>
      <c r="B885" s="39"/>
      <c r="C885" s="38"/>
      <c r="D885" s="21"/>
      <c r="E885" s="259"/>
      <c r="F885" s="166"/>
    </row>
    <row r="886" spans="1:6" ht="15" x14ac:dyDescent="0.25">
      <c r="A886" s="24" t="s">
        <v>70</v>
      </c>
      <c r="B886" s="44"/>
      <c r="C886" s="45"/>
      <c r="D886" s="25"/>
      <c r="E886" s="261"/>
      <c r="F886" s="168"/>
    </row>
    <row r="887" spans="1:6" x14ac:dyDescent="0.2">
      <c r="A887" s="27" t="s">
        <v>70</v>
      </c>
      <c r="B887" s="44">
        <v>11327.304895833335</v>
      </c>
      <c r="C887" s="45">
        <v>3</v>
      </c>
      <c r="D887" s="25" t="s">
        <v>102</v>
      </c>
      <c r="E887" s="261">
        <v>0</v>
      </c>
      <c r="F887" s="168">
        <f>+B887*C887*(1+E887)</f>
        <v>33981.914687500001</v>
      </c>
    </row>
    <row r="888" spans="1:6" ht="15" thickBot="1" x14ac:dyDescent="0.25">
      <c r="A888" s="27"/>
      <c r="B888" s="44"/>
      <c r="C888" s="45"/>
      <c r="D888" s="25"/>
      <c r="E888" s="261"/>
      <c r="F888" s="168"/>
    </row>
    <row r="889" spans="1:6" ht="15.75" thickBot="1" x14ac:dyDescent="0.3">
      <c r="A889" s="30"/>
      <c r="B889" s="52"/>
      <c r="C889" s="53"/>
      <c r="D889" s="31"/>
      <c r="E889" s="263" t="s">
        <v>241</v>
      </c>
      <c r="F889" s="169">
        <f>SUM(F875:F887)</f>
        <v>856350.30205592094</v>
      </c>
    </row>
    <row r="892" spans="1:6" ht="15" thickBot="1" x14ac:dyDescent="0.25"/>
    <row r="893" spans="1:6" x14ac:dyDescent="0.2">
      <c r="A893" s="16" t="s">
        <v>260</v>
      </c>
      <c r="B893" s="33"/>
      <c r="C893" s="34"/>
      <c r="D893" s="17"/>
      <c r="E893" s="257"/>
      <c r="F893" s="164"/>
    </row>
    <row r="894" spans="1:6" ht="25.5" x14ac:dyDescent="0.2">
      <c r="A894" s="90" t="s">
        <v>446</v>
      </c>
      <c r="B894" s="91"/>
      <c r="C894" s="92"/>
      <c r="D894" s="19" t="s">
        <v>233</v>
      </c>
      <c r="E894" s="258" t="s">
        <v>2</v>
      </c>
      <c r="F894" s="165"/>
    </row>
    <row r="895" spans="1:6" ht="15" thickBot="1" x14ac:dyDescent="0.25">
      <c r="A895" s="20"/>
      <c r="B895" s="37"/>
      <c r="C895" s="38"/>
      <c r="D895" s="21"/>
      <c r="E895" s="259"/>
      <c r="F895" s="166"/>
    </row>
    <row r="896" spans="1:6" ht="15" thickBot="1" x14ac:dyDescent="0.25">
      <c r="A896" s="22" t="s">
        <v>234</v>
      </c>
      <c r="B896" s="41" t="s">
        <v>235</v>
      </c>
      <c r="C896" s="42" t="s">
        <v>236</v>
      </c>
      <c r="D896" s="23" t="s">
        <v>237</v>
      </c>
      <c r="E896" s="260" t="s">
        <v>67</v>
      </c>
      <c r="F896" s="167" t="s">
        <v>238</v>
      </c>
    </row>
    <row r="897" spans="1:7" ht="15.75" thickTop="1" x14ac:dyDescent="0.25">
      <c r="A897" s="24" t="s">
        <v>239</v>
      </c>
      <c r="B897" s="44"/>
      <c r="C897" s="45"/>
      <c r="D897" s="25"/>
      <c r="E897" s="261"/>
      <c r="F897" s="168"/>
    </row>
    <row r="898" spans="1:7" x14ac:dyDescent="0.2">
      <c r="A898" s="27" t="s">
        <v>378</v>
      </c>
      <c r="B898" s="84">
        <v>143840</v>
      </c>
      <c r="C898" s="54">
        <v>1</v>
      </c>
      <c r="D898" s="25" t="s">
        <v>285</v>
      </c>
      <c r="E898" s="261">
        <v>0</v>
      </c>
      <c r="F898" s="168">
        <f>+B898*C898*(1+E898)</f>
        <v>143840</v>
      </c>
    </row>
    <row r="899" spans="1:7" x14ac:dyDescent="0.2">
      <c r="A899" s="27" t="s">
        <v>379</v>
      </c>
      <c r="B899" s="84">
        <v>117379.47368421052</v>
      </c>
      <c r="C899" s="54">
        <v>8.7200000000000006</v>
      </c>
      <c r="D899" s="25" t="s">
        <v>381</v>
      </c>
      <c r="E899" s="261">
        <v>0.05</v>
      </c>
      <c r="F899" s="168">
        <f>+B899*C899*(1+E899)</f>
        <v>1074726.4610526315</v>
      </c>
    </row>
    <row r="900" spans="1:7" x14ac:dyDescent="0.2">
      <c r="A900" s="27" t="s">
        <v>380</v>
      </c>
      <c r="B900" s="84">
        <v>13332.105263157895</v>
      </c>
      <c r="C900" s="54">
        <v>8.7200000000000006</v>
      </c>
      <c r="D900" s="25" t="s">
        <v>381</v>
      </c>
      <c r="E900" s="261">
        <v>0.05</v>
      </c>
      <c r="F900" s="168">
        <f>+B900*C900*(1+E900)</f>
        <v>122068.75578947371</v>
      </c>
    </row>
    <row r="901" spans="1:7" ht="15" thickBot="1" x14ac:dyDescent="0.25">
      <c r="A901" s="20"/>
      <c r="B901" s="39"/>
      <c r="C901" s="38"/>
      <c r="D901" s="21"/>
      <c r="E901" s="259"/>
      <c r="F901" s="166"/>
      <c r="G901" s="55">
        <f>SUM(F898:F900)</f>
        <v>1340635.2168421051</v>
      </c>
    </row>
    <row r="902" spans="1:7" ht="15" x14ac:dyDescent="0.25">
      <c r="A902" s="28" t="s">
        <v>240</v>
      </c>
      <c r="B902" s="49"/>
      <c r="C902" s="50"/>
      <c r="D902" s="29"/>
      <c r="E902" s="262"/>
      <c r="F902" s="164"/>
    </row>
    <row r="903" spans="1:7" x14ac:dyDescent="0.2">
      <c r="A903" s="27" t="s">
        <v>158</v>
      </c>
      <c r="B903" s="83">
        <v>67031.760842105257</v>
      </c>
      <c r="C903" s="45">
        <v>1</v>
      </c>
      <c r="D903" s="25" t="s">
        <v>101</v>
      </c>
      <c r="E903" s="261">
        <v>0</v>
      </c>
      <c r="F903" s="168">
        <f>+B903*C903*(1+E903)</f>
        <v>67031.760842105257</v>
      </c>
    </row>
    <row r="904" spans="1:7" x14ac:dyDescent="0.2">
      <c r="A904" s="27"/>
      <c r="B904" s="44"/>
      <c r="C904" s="45"/>
      <c r="D904" s="25"/>
      <c r="E904" s="261"/>
      <c r="F904" s="168"/>
    </row>
    <row r="905" spans="1:7" ht="15" thickBot="1" x14ac:dyDescent="0.25">
      <c r="A905" s="20"/>
      <c r="B905" s="39"/>
      <c r="C905" s="38"/>
      <c r="D905" s="21"/>
      <c r="E905" s="259"/>
      <c r="F905" s="166"/>
    </row>
    <row r="906" spans="1:7" ht="15" x14ac:dyDescent="0.25">
      <c r="A906" s="28" t="s">
        <v>116</v>
      </c>
      <c r="B906" s="49"/>
      <c r="C906" s="50"/>
      <c r="D906" s="29"/>
      <c r="E906" s="262"/>
      <c r="F906" s="164"/>
    </row>
    <row r="907" spans="1:7" x14ac:dyDescent="0.2">
      <c r="A907" s="27" t="s">
        <v>92</v>
      </c>
      <c r="B907" s="83">
        <v>40219.05650526315</v>
      </c>
      <c r="C907" s="45">
        <v>1</v>
      </c>
      <c r="D907" s="25" t="s">
        <v>101</v>
      </c>
      <c r="E907" s="261">
        <v>0</v>
      </c>
      <c r="F907" s="168">
        <f>+B907*C907*(1+E907)</f>
        <v>40219.05650526315</v>
      </c>
    </row>
    <row r="908" spans="1:7" ht="15" thickBot="1" x14ac:dyDescent="0.25">
      <c r="A908" s="20"/>
      <c r="B908" s="39"/>
      <c r="C908" s="38"/>
      <c r="D908" s="21"/>
      <c r="E908" s="259"/>
      <c r="F908" s="166"/>
    </row>
    <row r="909" spans="1:7" ht="15" x14ac:dyDescent="0.25">
      <c r="A909" s="24" t="s">
        <v>70</v>
      </c>
      <c r="B909" s="44"/>
      <c r="C909" s="45"/>
      <c r="D909" s="25"/>
      <c r="E909" s="261"/>
      <c r="F909" s="168"/>
    </row>
    <row r="910" spans="1:7" x14ac:dyDescent="0.2">
      <c r="A910" s="27" t="s">
        <v>70</v>
      </c>
      <c r="B910" s="44">
        <v>11327.304895833335</v>
      </c>
      <c r="C910" s="45">
        <v>3</v>
      </c>
      <c r="D910" s="25" t="s">
        <v>102</v>
      </c>
      <c r="E910" s="261">
        <v>0</v>
      </c>
      <c r="F910" s="168">
        <f>+B910*C910*(1+E910)</f>
        <v>33981.914687500001</v>
      </c>
    </row>
    <row r="911" spans="1:7" ht="15" thickBot="1" x14ac:dyDescent="0.25">
      <c r="A911" s="27"/>
      <c r="B911" s="44"/>
      <c r="C911" s="45"/>
      <c r="D911" s="25"/>
      <c r="E911" s="261"/>
      <c r="F911" s="168"/>
    </row>
    <row r="912" spans="1:7" ht="15.75" thickBot="1" x14ac:dyDescent="0.3">
      <c r="A912" s="30"/>
      <c r="B912" s="52"/>
      <c r="C912" s="53"/>
      <c r="D912" s="31"/>
      <c r="E912" s="263" t="s">
        <v>241</v>
      </c>
      <c r="F912" s="169">
        <f>SUM(F898:F910)</f>
        <v>1481867.9488769737</v>
      </c>
    </row>
    <row r="916" spans="1:7" ht="15" thickBot="1" x14ac:dyDescent="0.25"/>
    <row r="917" spans="1:7" x14ac:dyDescent="0.2">
      <c r="A917" s="16" t="s">
        <v>260</v>
      </c>
      <c r="B917" s="33"/>
      <c r="C917" s="34"/>
      <c r="D917" s="17"/>
      <c r="E917" s="257"/>
      <c r="F917" s="164"/>
    </row>
    <row r="918" spans="1:7" ht="25.5" x14ac:dyDescent="0.2">
      <c r="A918" s="90" t="s">
        <v>654</v>
      </c>
      <c r="B918" s="91"/>
      <c r="C918" s="92"/>
      <c r="D918" s="19" t="s">
        <v>233</v>
      </c>
      <c r="E918" s="258" t="s">
        <v>80</v>
      </c>
      <c r="F918" s="165"/>
    </row>
    <row r="919" spans="1:7" ht="15" thickBot="1" x14ac:dyDescent="0.25">
      <c r="A919" s="20"/>
      <c r="B919" s="37"/>
      <c r="C919" s="38"/>
      <c r="D919" s="21"/>
      <c r="E919" s="259"/>
      <c r="F919" s="166"/>
    </row>
    <row r="920" spans="1:7" ht="15" thickBot="1" x14ac:dyDescent="0.25">
      <c r="A920" s="317" t="s">
        <v>234</v>
      </c>
      <c r="B920" s="318" t="s">
        <v>235</v>
      </c>
      <c r="C920" s="319" t="s">
        <v>236</v>
      </c>
      <c r="D920" s="320" t="s">
        <v>237</v>
      </c>
      <c r="E920" s="321" t="s">
        <v>67</v>
      </c>
      <c r="F920" s="322" t="s">
        <v>238</v>
      </c>
    </row>
    <row r="921" spans="1:7" ht="15.75" thickTop="1" x14ac:dyDescent="0.25">
      <c r="A921" s="24" t="s">
        <v>239</v>
      </c>
      <c r="B921" s="44"/>
      <c r="C921" s="45"/>
      <c r="D921" s="25"/>
      <c r="E921" s="261"/>
      <c r="F921" s="168"/>
    </row>
    <row r="922" spans="1:7" x14ac:dyDescent="0.2">
      <c r="A922" s="27" t="s">
        <v>146</v>
      </c>
      <c r="B922" s="84">
        <f>(206849*1.19)/6</f>
        <v>41025.051666666666</v>
      </c>
      <c r="C922" s="54">
        <v>1</v>
      </c>
      <c r="D922" s="25" t="s">
        <v>82</v>
      </c>
      <c r="E922" s="261">
        <v>0.03</v>
      </c>
      <c r="F922" s="174">
        <f>B922*C922*(1+E922)</f>
        <v>42255.803216666667</v>
      </c>
    </row>
    <row r="923" spans="1:7" x14ac:dyDescent="0.2">
      <c r="A923" s="27" t="s">
        <v>122</v>
      </c>
      <c r="B923" s="84">
        <v>38000</v>
      </c>
      <c r="C923" s="54">
        <v>7.1400000000000005E-2</v>
      </c>
      <c r="D923" s="25" t="s">
        <v>103</v>
      </c>
      <c r="E923" s="261">
        <v>0.03</v>
      </c>
      <c r="F923" s="174">
        <f>B923*C923*(1+E923)</f>
        <v>2794.5960000000005</v>
      </c>
    </row>
    <row r="924" spans="1:7" x14ac:dyDescent="0.2">
      <c r="A924" s="27" t="s">
        <v>123</v>
      </c>
      <c r="B924" s="84">
        <v>62900</v>
      </c>
      <c r="C924" s="54">
        <v>7.1400000000000005E-2</v>
      </c>
      <c r="D924" s="25" t="s">
        <v>103</v>
      </c>
      <c r="E924" s="261">
        <v>0.03</v>
      </c>
      <c r="F924" s="174">
        <f>B924*C924*(1+E924)</f>
        <v>4625.7918000000009</v>
      </c>
    </row>
    <row r="925" spans="1:7" x14ac:dyDescent="0.2">
      <c r="A925" s="27" t="s">
        <v>655</v>
      </c>
      <c r="B925" s="84">
        <v>34673</v>
      </c>
      <c r="C925" s="54">
        <v>0.1</v>
      </c>
      <c r="D925" s="25" t="s">
        <v>90</v>
      </c>
      <c r="E925" s="261">
        <v>0</v>
      </c>
      <c r="F925" s="174">
        <f>B925*C925*(1+E925)</f>
        <v>3467.3</v>
      </c>
    </row>
    <row r="926" spans="1:7" x14ac:dyDescent="0.2">
      <c r="A926" s="27" t="s">
        <v>156</v>
      </c>
      <c r="B926" s="84">
        <v>71735</v>
      </c>
      <c r="C926" s="54">
        <v>0.1</v>
      </c>
      <c r="D926" s="25" t="s">
        <v>90</v>
      </c>
      <c r="E926" s="261">
        <v>0</v>
      </c>
      <c r="F926" s="174">
        <f>B926*C926*(1+E926)</f>
        <v>7173.5</v>
      </c>
    </row>
    <row r="927" spans="1:7" ht="15" thickBot="1" x14ac:dyDescent="0.25">
      <c r="A927" s="20"/>
      <c r="B927" s="39"/>
      <c r="C927" s="38"/>
      <c r="D927" s="21"/>
      <c r="E927" s="259"/>
      <c r="F927" s="166"/>
      <c r="G927" s="55">
        <f>SUM(F922:F926)</f>
        <v>60316.991016666667</v>
      </c>
    </row>
    <row r="928" spans="1:7" ht="15" x14ac:dyDescent="0.25">
      <c r="A928" s="28" t="s">
        <v>240</v>
      </c>
      <c r="B928" s="49"/>
      <c r="C928" s="50"/>
      <c r="D928" s="29"/>
      <c r="E928" s="262"/>
      <c r="F928" s="164"/>
    </row>
    <row r="929" spans="1:6" x14ac:dyDescent="0.2">
      <c r="A929" s="27" t="s">
        <v>158</v>
      </c>
      <c r="B929" s="83">
        <v>3015.8495508333335</v>
      </c>
      <c r="C929" s="45">
        <v>1</v>
      </c>
      <c r="D929" s="25" t="s">
        <v>101</v>
      </c>
      <c r="E929" s="261">
        <v>0</v>
      </c>
      <c r="F929" s="168">
        <f>+B929*C929*(1+E929)</f>
        <v>3015.8495508333335</v>
      </c>
    </row>
    <row r="930" spans="1:6" x14ac:dyDescent="0.2">
      <c r="A930" s="27"/>
      <c r="B930" s="44"/>
      <c r="C930" s="45"/>
      <c r="D930" s="25"/>
      <c r="E930" s="261"/>
      <c r="F930" s="168"/>
    </row>
    <row r="931" spans="1:6" ht="15" thickBot="1" x14ac:dyDescent="0.25">
      <c r="A931" s="20"/>
      <c r="B931" s="39"/>
      <c r="C931" s="38"/>
      <c r="D931" s="21"/>
      <c r="E931" s="259"/>
      <c r="F931" s="166"/>
    </row>
    <row r="932" spans="1:6" ht="15" x14ac:dyDescent="0.25">
      <c r="A932" s="28" t="s">
        <v>116</v>
      </c>
      <c r="B932" s="49"/>
      <c r="C932" s="50"/>
      <c r="D932" s="29"/>
      <c r="E932" s="262"/>
      <c r="F932" s="164"/>
    </row>
    <row r="933" spans="1:6" x14ac:dyDescent="0.2">
      <c r="A933" s="27" t="s">
        <v>92</v>
      </c>
      <c r="B933" s="83">
        <v>1809.5097304999999</v>
      </c>
      <c r="C933" s="45">
        <v>1</v>
      </c>
      <c r="D933" s="25" t="s">
        <v>101</v>
      </c>
      <c r="E933" s="261">
        <v>0</v>
      </c>
      <c r="F933" s="168">
        <f>+B933*C933*(1+E933)</f>
        <v>1809.5097304999999</v>
      </c>
    </row>
    <row r="934" spans="1:6" ht="15" thickBot="1" x14ac:dyDescent="0.25">
      <c r="A934" s="20"/>
      <c r="B934" s="39"/>
      <c r="C934" s="38"/>
      <c r="D934" s="21"/>
      <c r="E934" s="259"/>
      <c r="F934" s="166"/>
    </row>
    <row r="935" spans="1:6" ht="15" x14ac:dyDescent="0.25">
      <c r="A935" s="24" t="s">
        <v>70</v>
      </c>
      <c r="B935" s="44"/>
      <c r="C935" s="45"/>
      <c r="D935" s="25"/>
      <c r="E935" s="261"/>
      <c r="F935" s="168"/>
    </row>
    <row r="936" spans="1:6" x14ac:dyDescent="0.2">
      <c r="A936" s="27" t="s">
        <v>70</v>
      </c>
      <c r="B936" s="44">
        <v>11327.304895833335</v>
      </c>
      <c r="C936" s="45">
        <v>3</v>
      </c>
      <c r="D936" s="25" t="s">
        <v>102</v>
      </c>
      <c r="E936" s="261">
        <v>0</v>
      </c>
      <c r="F936" s="168">
        <f>+B936*C936*(1+E936)</f>
        <v>33981.914687500001</v>
      </c>
    </row>
    <row r="937" spans="1:6" ht="15" thickBot="1" x14ac:dyDescent="0.25">
      <c r="A937" s="27"/>
      <c r="B937" s="44"/>
      <c r="C937" s="45"/>
      <c r="D937" s="25"/>
      <c r="E937" s="261"/>
      <c r="F937" s="168"/>
    </row>
    <row r="938" spans="1:6" ht="15.75" thickBot="1" x14ac:dyDescent="0.3">
      <c r="A938" s="30"/>
      <c r="B938" s="52"/>
      <c r="C938" s="53"/>
      <c r="D938" s="31"/>
      <c r="E938" s="263" t="s">
        <v>241</v>
      </c>
      <c r="F938" s="169">
        <f>SUM(F922:F936)</f>
        <v>99124.264985500005</v>
      </c>
    </row>
    <row r="944" spans="1:6" ht="15" thickBot="1" x14ac:dyDescent="0.25"/>
    <row r="945" spans="1:7" x14ac:dyDescent="0.2">
      <c r="A945" s="16" t="s">
        <v>270</v>
      </c>
      <c r="B945" s="33"/>
      <c r="C945" s="34"/>
      <c r="D945" s="17"/>
      <c r="E945" s="257"/>
      <c r="F945" s="164"/>
    </row>
    <row r="946" spans="1:7" x14ac:dyDescent="0.2">
      <c r="A946" s="90" t="s">
        <v>271</v>
      </c>
      <c r="B946" s="91"/>
      <c r="C946" s="92"/>
      <c r="D946" s="19" t="s">
        <v>233</v>
      </c>
      <c r="E946" s="258" t="s">
        <v>2</v>
      </c>
      <c r="F946" s="165"/>
    </row>
    <row r="947" spans="1:7" ht="15" thickBot="1" x14ac:dyDescent="0.25">
      <c r="A947" s="20"/>
      <c r="B947" s="37"/>
      <c r="C947" s="38"/>
      <c r="D947" s="21"/>
      <c r="E947" s="259"/>
      <c r="F947" s="166"/>
    </row>
    <row r="948" spans="1:7" ht="15" thickBot="1" x14ac:dyDescent="0.25">
      <c r="A948" s="22" t="s">
        <v>234</v>
      </c>
      <c r="B948" s="41" t="s">
        <v>235</v>
      </c>
      <c r="C948" s="42" t="s">
        <v>236</v>
      </c>
      <c r="D948" s="23" t="s">
        <v>237</v>
      </c>
      <c r="E948" s="260" t="s">
        <v>67</v>
      </c>
      <c r="F948" s="167" t="s">
        <v>238</v>
      </c>
    </row>
    <row r="949" spans="1:7" ht="15.75" thickTop="1" x14ac:dyDescent="0.25">
      <c r="A949" s="24" t="s">
        <v>239</v>
      </c>
      <c r="B949" s="44"/>
      <c r="C949" s="45"/>
      <c r="D949" s="25"/>
      <c r="E949" s="261"/>
      <c r="F949" s="168"/>
    </row>
    <row r="950" spans="1:7" x14ac:dyDescent="0.2">
      <c r="A950" s="27" t="s">
        <v>141</v>
      </c>
      <c r="B950" s="44">
        <f>(15091*1.19)/6</f>
        <v>2993.0483333333336</v>
      </c>
      <c r="C950" s="54">
        <v>3</v>
      </c>
      <c r="D950" s="25" t="s">
        <v>138</v>
      </c>
      <c r="E950" s="261">
        <v>0.03</v>
      </c>
      <c r="F950" s="168">
        <f>+B950*C950*(1+E950)</f>
        <v>9248.5193500000005</v>
      </c>
    </row>
    <row r="951" spans="1:7" x14ac:dyDescent="0.2">
      <c r="A951" s="27" t="s">
        <v>124</v>
      </c>
      <c r="B951" s="44">
        <v>566</v>
      </c>
      <c r="C951" s="54">
        <v>0.16500000000000001</v>
      </c>
      <c r="D951" s="25" t="s">
        <v>101</v>
      </c>
      <c r="E951" s="261">
        <v>0</v>
      </c>
      <c r="F951" s="168">
        <f t="shared" ref="F951:F957" si="15">+B951*C951*(1+E951)</f>
        <v>93.39</v>
      </c>
    </row>
    <row r="952" spans="1:7" x14ac:dyDescent="0.2">
      <c r="A952" s="27" t="s">
        <v>122</v>
      </c>
      <c r="B952" s="44">
        <v>38000</v>
      </c>
      <c r="C952" s="54">
        <v>6.25E-2</v>
      </c>
      <c r="D952" s="25" t="s">
        <v>103</v>
      </c>
      <c r="E952" s="261">
        <v>0.03</v>
      </c>
      <c r="F952" s="168">
        <f>+B952*C952*(1+E952)</f>
        <v>2446.25</v>
      </c>
    </row>
    <row r="953" spans="1:7" x14ac:dyDescent="0.2">
      <c r="A953" s="27" t="s">
        <v>123</v>
      </c>
      <c r="B953" s="44">
        <v>62900</v>
      </c>
      <c r="C953" s="54">
        <v>6.25E-2</v>
      </c>
      <c r="D953" s="25" t="s">
        <v>103</v>
      </c>
      <c r="E953" s="261">
        <v>0.03</v>
      </c>
      <c r="F953" s="168">
        <f t="shared" si="15"/>
        <v>4049.1875</v>
      </c>
    </row>
    <row r="954" spans="1:7" x14ac:dyDescent="0.2">
      <c r="A954" s="27" t="s">
        <v>125</v>
      </c>
      <c r="B954" s="44">
        <f>540*1.19</f>
        <v>642.6</v>
      </c>
      <c r="C954" s="54">
        <v>1</v>
      </c>
      <c r="D954" s="25" t="s">
        <v>101</v>
      </c>
      <c r="E954" s="261">
        <v>0</v>
      </c>
      <c r="F954" s="168">
        <f t="shared" si="15"/>
        <v>642.6</v>
      </c>
    </row>
    <row r="955" spans="1:7" x14ac:dyDescent="0.2">
      <c r="A955" s="27" t="s">
        <v>139</v>
      </c>
      <c r="B955" s="44">
        <f>2561*1.19</f>
        <v>3047.5899999999997</v>
      </c>
      <c r="C955" s="54">
        <v>1</v>
      </c>
      <c r="D955" s="25" t="s">
        <v>101</v>
      </c>
      <c r="E955" s="261">
        <v>0</v>
      </c>
      <c r="F955" s="168">
        <f t="shared" si="15"/>
        <v>3047.5899999999997</v>
      </c>
    </row>
    <row r="956" spans="1:7" x14ac:dyDescent="0.2">
      <c r="A956" s="27" t="s">
        <v>126</v>
      </c>
      <c r="B956" s="44">
        <f>490*1.19</f>
        <v>583.1</v>
      </c>
      <c r="C956" s="54">
        <v>4</v>
      </c>
      <c r="D956" s="25" t="s">
        <v>101</v>
      </c>
      <c r="E956" s="261">
        <v>0</v>
      </c>
      <c r="F956" s="168">
        <f t="shared" si="15"/>
        <v>2332.4</v>
      </c>
    </row>
    <row r="957" spans="1:7" x14ac:dyDescent="0.2">
      <c r="A957" s="27" t="s">
        <v>140</v>
      </c>
      <c r="B957" s="44">
        <f>318*1.19</f>
        <v>378.41999999999996</v>
      </c>
      <c r="C957" s="54">
        <v>2</v>
      </c>
      <c r="D957" s="25" t="s">
        <v>101</v>
      </c>
      <c r="E957" s="261">
        <v>0</v>
      </c>
      <c r="F957" s="168">
        <f t="shared" si="15"/>
        <v>756.83999999999992</v>
      </c>
    </row>
    <row r="958" spans="1:7" ht="15" thickBot="1" x14ac:dyDescent="0.25">
      <c r="A958" s="20"/>
      <c r="B958" s="39"/>
      <c r="C958" s="38"/>
      <c r="D958" s="21"/>
      <c r="E958" s="259"/>
      <c r="F958" s="166"/>
      <c r="G958" s="55">
        <f>SUM(F950:F957)</f>
        <v>22616.776850000002</v>
      </c>
    </row>
    <row r="959" spans="1:7" ht="15" x14ac:dyDescent="0.25">
      <c r="A959" s="28" t="s">
        <v>240</v>
      </c>
      <c r="B959" s="49"/>
      <c r="C959" s="50"/>
      <c r="D959" s="29"/>
      <c r="E959" s="262"/>
      <c r="F959" s="164"/>
    </row>
    <row r="960" spans="1:7" x14ac:dyDescent="0.2">
      <c r="A960" s="27" t="s">
        <v>158</v>
      </c>
      <c r="B960" s="83">
        <v>1130.8388425000001</v>
      </c>
      <c r="C960" s="45">
        <v>1</v>
      </c>
      <c r="D960" s="25" t="s">
        <v>101</v>
      </c>
      <c r="E960" s="261">
        <v>0</v>
      </c>
      <c r="F960" s="168">
        <f>+B960*C960*(1+E960)</f>
        <v>1130.8388425000001</v>
      </c>
    </row>
    <row r="961" spans="1:6" x14ac:dyDescent="0.2">
      <c r="A961" s="27"/>
      <c r="B961" s="44"/>
      <c r="C961" s="45"/>
      <c r="D961" s="25"/>
      <c r="E961" s="261"/>
      <c r="F961" s="168"/>
    </row>
    <row r="962" spans="1:6" ht="15" thickBot="1" x14ac:dyDescent="0.25">
      <c r="A962" s="20"/>
      <c r="B962" s="39"/>
      <c r="C962" s="38"/>
      <c r="D962" s="21"/>
      <c r="E962" s="259"/>
      <c r="F962" s="166"/>
    </row>
    <row r="963" spans="1:6" ht="15" x14ac:dyDescent="0.25">
      <c r="A963" s="28" t="s">
        <v>116</v>
      </c>
      <c r="B963" s="49"/>
      <c r="C963" s="50"/>
      <c r="D963" s="29"/>
      <c r="E963" s="262"/>
      <c r="F963" s="164"/>
    </row>
    <row r="964" spans="1:6" x14ac:dyDescent="0.2">
      <c r="A964" s="27" t="s">
        <v>92</v>
      </c>
      <c r="B964" s="83">
        <v>678.50330550000001</v>
      </c>
      <c r="C964" s="45">
        <v>1</v>
      </c>
      <c r="D964" s="25" t="s">
        <v>85</v>
      </c>
      <c r="E964" s="261">
        <v>0</v>
      </c>
      <c r="F964" s="168">
        <f>+B964*C964*(1+E964)</f>
        <v>678.50330550000001</v>
      </c>
    </row>
    <row r="965" spans="1:6" ht="15" thickBot="1" x14ac:dyDescent="0.25">
      <c r="A965" s="20"/>
      <c r="B965" s="39"/>
      <c r="C965" s="38"/>
      <c r="D965" s="21"/>
      <c r="E965" s="259"/>
      <c r="F965" s="166"/>
    </row>
    <row r="966" spans="1:6" ht="15" x14ac:dyDescent="0.25">
      <c r="A966" s="24" t="s">
        <v>70</v>
      </c>
      <c r="B966" s="44"/>
      <c r="C966" s="45"/>
      <c r="D966" s="25"/>
      <c r="E966" s="261"/>
      <c r="F966" s="168"/>
    </row>
    <row r="967" spans="1:6" x14ac:dyDescent="0.2">
      <c r="A967" s="27" t="s">
        <v>70</v>
      </c>
      <c r="B967" s="44">
        <v>11327.304895833335</v>
      </c>
      <c r="C967" s="45">
        <v>1.6</v>
      </c>
      <c r="D967" s="25" t="s">
        <v>102</v>
      </c>
      <c r="E967" s="261">
        <v>0</v>
      </c>
      <c r="F967" s="168">
        <f>+B967*C967*(1+E967)</f>
        <v>18123.687833333337</v>
      </c>
    </row>
    <row r="968" spans="1:6" ht="15" thickBot="1" x14ac:dyDescent="0.25">
      <c r="A968" s="27"/>
      <c r="B968" s="44"/>
      <c r="C968" s="45"/>
      <c r="D968" s="25"/>
      <c r="E968" s="261"/>
      <c r="F968" s="168"/>
    </row>
    <row r="969" spans="1:6" ht="15.75" thickBot="1" x14ac:dyDescent="0.3">
      <c r="A969" s="30"/>
      <c r="B969" s="52"/>
      <c r="C969" s="53"/>
      <c r="D969" s="31"/>
      <c r="E969" s="263" t="s">
        <v>241</v>
      </c>
      <c r="F969" s="169">
        <f>SUM(F950:F967)</f>
        <v>42549.806831333335</v>
      </c>
    </row>
    <row r="971" spans="1:6" ht="15" thickBot="1" x14ac:dyDescent="0.25"/>
    <row r="972" spans="1:6" x14ac:dyDescent="0.2">
      <c r="A972" s="16" t="s">
        <v>270</v>
      </c>
      <c r="B972" s="33"/>
      <c r="C972" s="34"/>
      <c r="D972" s="17"/>
      <c r="E972" s="257"/>
      <c r="F972" s="164"/>
    </row>
    <row r="973" spans="1:6" x14ac:dyDescent="0.2">
      <c r="A973" s="90" t="s">
        <v>272</v>
      </c>
      <c r="B973" s="91"/>
      <c r="C973" s="92"/>
      <c r="D973" s="19" t="s">
        <v>233</v>
      </c>
      <c r="E973" s="258" t="s">
        <v>2</v>
      </c>
      <c r="F973" s="165"/>
    </row>
    <row r="974" spans="1:6" ht="15" thickBot="1" x14ac:dyDescent="0.25">
      <c r="A974" s="20"/>
      <c r="B974" s="37"/>
      <c r="C974" s="38"/>
      <c r="D974" s="21"/>
      <c r="E974" s="259"/>
      <c r="F974" s="166"/>
    </row>
    <row r="975" spans="1:6" ht="15" thickBot="1" x14ac:dyDescent="0.25">
      <c r="A975" s="22" t="s">
        <v>234</v>
      </c>
      <c r="B975" s="41" t="s">
        <v>235</v>
      </c>
      <c r="C975" s="42" t="s">
        <v>236</v>
      </c>
      <c r="D975" s="23" t="s">
        <v>237</v>
      </c>
      <c r="E975" s="260" t="s">
        <v>67</v>
      </c>
      <c r="F975" s="167" t="s">
        <v>238</v>
      </c>
    </row>
    <row r="976" spans="1:6" ht="15.75" thickTop="1" x14ac:dyDescent="0.25">
      <c r="A976" s="24" t="s">
        <v>239</v>
      </c>
      <c r="B976" s="44"/>
      <c r="C976" s="45"/>
      <c r="D976" s="25"/>
      <c r="E976" s="261"/>
      <c r="F976" s="168"/>
    </row>
    <row r="977" spans="1:7" x14ac:dyDescent="0.2">
      <c r="A977" s="27" t="s">
        <v>141</v>
      </c>
      <c r="B977" s="44">
        <f>(15091*1.19)/6</f>
        <v>2993.0483333333336</v>
      </c>
      <c r="C977" s="54">
        <v>3</v>
      </c>
      <c r="D977" s="25" t="s">
        <v>138</v>
      </c>
      <c r="E977" s="261">
        <v>0.03</v>
      </c>
      <c r="F977" s="168">
        <f>+B977*C977*(1+E977)</f>
        <v>9248.5193500000005</v>
      </c>
    </row>
    <row r="978" spans="1:7" x14ac:dyDescent="0.2">
      <c r="A978" s="27" t="s">
        <v>124</v>
      </c>
      <c r="B978" s="44">
        <v>566</v>
      </c>
      <c r="C978" s="54">
        <v>0.16500000000000001</v>
      </c>
      <c r="D978" s="25" t="s">
        <v>101</v>
      </c>
      <c r="E978" s="261">
        <v>0</v>
      </c>
      <c r="F978" s="168">
        <f t="shared" ref="F978" si="16">+B978*C978*(1+E978)</f>
        <v>93.39</v>
      </c>
    </row>
    <row r="979" spans="1:7" x14ac:dyDescent="0.2">
      <c r="A979" s="27" t="s">
        <v>122</v>
      </c>
      <c r="B979" s="44">
        <v>38000</v>
      </c>
      <c r="C979" s="54">
        <v>6.25E-2</v>
      </c>
      <c r="D979" s="25" t="s">
        <v>103</v>
      </c>
      <c r="E979" s="261">
        <v>0.03</v>
      </c>
      <c r="F979" s="168">
        <f>+B979*C979*(1+E979)</f>
        <v>2446.25</v>
      </c>
    </row>
    <row r="980" spans="1:7" x14ac:dyDescent="0.2">
      <c r="A980" s="27" t="s">
        <v>123</v>
      </c>
      <c r="B980" s="44">
        <v>62900</v>
      </c>
      <c r="C980" s="54">
        <v>6.25E-2</v>
      </c>
      <c r="D980" s="25" t="s">
        <v>103</v>
      </c>
      <c r="E980" s="261">
        <v>0.03</v>
      </c>
      <c r="F980" s="168">
        <f t="shared" ref="F980:F984" si="17">+B980*C980*(1+E980)</f>
        <v>4049.1875</v>
      </c>
    </row>
    <row r="981" spans="1:7" x14ac:dyDescent="0.2">
      <c r="A981" s="27" t="s">
        <v>125</v>
      </c>
      <c r="B981" s="44">
        <f>540*1.19</f>
        <v>642.6</v>
      </c>
      <c r="C981" s="54">
        <v>1</v>
      </c>
      <c r="D981" s="25" t="s">
        <v>101</v>
      </c>
      <c r="E981" s="261">
        <v>0</v>
      </c>
      <c r="F981" s="168">
        <f t="shared" si="17"/>
        <v>642.6</v>
      </c>
    </row>
    <row r="982" spans="1:7" x14ac:dyDescent="0.2">
      <c r="A982" s="27" t="s">
        <v>139</v>
      </c>
      <c r="B982" s="44">
        <f>2561*1.19</f>
        <v>3047.5899999999997</v>
      </c>
      <c r="C982" s="54">
        <v>1</v>
      </c>
      <c r="D982" s="25" t="s">
        <v>101</v>
      </c>
      <c r="E982" s="261">
        <v>0</v>
      </c>
      <c r="F982" s="168">
        <f t="shared" si="17"/>
        <v>3047.5899999999997</v>
      </c>
    </row>
    <row r="983" spans="1:7" x14ac:dyDescent="0.2">
      <c r="A983" s="27" t="s">
        <v>126</v>
      </c>
      <c r="B983" s="44">
        <f>490*1.19</f>
        <v>583.1</v>
      </c>
      <c r="C983" s="54">
        <v>4</v>
      </c>
      <c r="D983" s="25" t="s">
        <v>101</v>
      </c>
      <c r="E983" s="261">
        <v>0</v>
      </c>
      <c r="F983" s="168">
        <f t="shared" si="17"/>
        <v>2332.4</v>
      </c>
    </row>
    <row r="984" spans="1:7" x14ac:dyDescent="0.2">
      <c r="A984" s="27" t="s">
        <v>140</v>
      </c>
      <c r="B984" s="44">
        <f>318*1.19</f>
        <v>378.41999999999996</v>
      </c>
      <c r="C984" s="54">
        <v>2</v>
      </c>
      <c r="D984" s="25" t="s">
        <v>101</v>
      </c>
      <c r="E984" s="261">
        <v>0</v>
      </c>
      <c r="F984" s="168">
        <f t="shared" si="17"/>
        <v>756.83999999999992</v>
      </c>
    </row>
    <row r="985" spans="1:7" ht="15" thickBot="1" x14ac:dyDescent="0.25">
      <c r="A985" s="20"/>
      <c r="B985" s="39"/>
      <c r="C985" s="38"/>
      <c r="D985" s="21"/>
      <c r="E985" s="259"/>
      <c r="F985" s="166"/>
      <c r="G985" s="55">
        <f>SUM(F977:F984)</f>
        <v>22616.776850000002</v>
      </c>
    </row>
    <row r="986" spans="1:7" ht="15" x14ac:dyDescent="0.25">
      <c r="A986" s="28" t="s">
        <v>240</v>
      </c>
      <c r="B986" s="49"/>
      <c r="C986" s="50"/>
      <c r="D986" s="29"/>
      <c r="E986" s="262"/>
      <c r="F986" s="164"/>
    </row>
    <row r="987" spans="1:7" x14ac:dyDescent="0.2">
      <c r="A987" s="27" t="s">
        <v>158</v>
      </c>
      <c r="B987" s="83">
        <v>1130.8388425000001</v>
      </c>
      <c r="C987" s="45">
        <v>1</v>
      </c>
      <c r="D987" s="25" t="s">
        <v>101</v>
      </c>
      <c r="E987" s="261">
        <v>0</v>
      </c>
      <c r="F987" s="168">
        <f>+B987*C987*(1+E987)</f>
        <v>1130.8388425000001</v>
      </c>
    </row>
    <row r="988" spans="1:7" x14ac:dyDescent="0.2">
      <c r="A988" s="27"/>
      <c r="B988" s="44"/>
      <c r="C988" s="45"/>
      <c r="D988" s="25"/>
      <c r="E988" s="261"/>
      <c r="F988" s="168"/>
    </row>
    <row r="989" spans="1:7" ht="15" thickBot="1" x14ac:dyDescent="0.25">
      <c r="A989" s="20"/>
      <c r="B989" s="39"/>
      <c r="C989" s="38"/>
      <c r="D989" s="21"/>
      <c r="E989" s="259"/>
      <c r="F989" s="166"/>
    </row>
    <row r="990" spans="1:7" ht="15" x14ac:dyDescent="0.25">
      <c r="A990" s="28" t="s">
        <v>116</v>
      </c>
      <c r="B990" s="49"/>
      <c r="C990" s="50"/>
      <c r="D990" s="29"/>
      <c r="E990" s="262"/>
      <c r="F990" s="164"/>
    </row>
    <row r="991" spans="1:7" x14ac:dyDescent="0.2">
      <c r="A991" s="27" t="s">
        <v>92</v>
      </c>
      <c r="B991" s="83">
        <v>678.50330550000001</v>
      </c>
      <c r="C991" s="45">
        <v>1</v>
      </c>
      <c r="D991" s="25" t="s">
        <v>85</v>
      </c>
      <c r="E991" s="261">
        <v>0</v>
      </c>
      <c r="F991" s="168">
        <f>+B991*C991*(1+E991)</f>
        <v>678.50330550000001</v>
      </c>
    </row>
    <row r="992" spans="1:7" ht="15" thickBot="1" x14ac:dyDescent="0.25">
      <c r="A992" s="20"/>
      <c r="B992" s="39"/>
      <c r="C992" s="38"/>
      <c r="D992" s="21"/>
      <c r="E992" s="259"/>
      <c r="F992" s="166"/>
    </row>
    <row r="993" spans="1:6" ht="15" x14ac:dyDescent="0.25">
      <c r="A993" s="24" t="s">
        <v>70</v>
      </c>
      <c r="B993" s="44"/>
      <c r="C993" s="45"/>
      <c r="D993" s="25"/>
      <c r="E993" s="261"/>
      <c r="F993" s="168"/>
    </row>
    <row r="994" spans="1:6" x14ac:dyDescent="0.2">
      <c r="A994" s="27" t="s">
        <v>70</v>
      </c>
      <c r="B994" s="44">
        <v>11327.304895833335</v>
      </c>
      <c r="C994" s="45">
        <v>1.6</v>
      </c>
      <c r="D994" s="25" t="s">
        <v>102</v>
      </c>
      <c r="E994" s="261">
        <v>0</v>
      </c>
      <c r="F994" s="168">
        <f>+B994*C994*(1+E994)</f>
        <v>18123.687833333337</v>
      </c>
    </row>
    <row r="995" spans="1:6" ht="15" thickBot="1" x14ac:dyDescent="0.25">
      <c r="A995" s="27"/>
      <c r="B995" s="44"/>
      <c r="C995" s="45"/>
      <c r="D995" s="25"/>
      <c r="E995" s="261"/>
      <c r="F995" s="168"/>
    </row>
    <row r="996" spans="1:6" ht="15.75" thickBot="1" x14ac:dyDescent="0.3">
      <c r="A996" s="30"/>
      <c r="B996" s="52"/>
      <c r="C996" s="53"/>
      <c r="D996" s="31"/>
      <c r="E996" s="263" t="s">
        <v>241</v>
      </c>
      <c r="F996" s="169">
        <f>SUM(F977:F994)</f>
        <v>42549.806831333335</v>
      </c>
    </row>
    <row r="998" spans="1:6" ht="15" thickBot="1" x14ac:dyDescent="0.25"/>
    <row r="999" spans="1:6" x14ac:dyDescent="0.2">
      <c r="A999" s="16" t="s">
        <v>270</v>
      </c>
      <c r="B999" s="33"/>
      <c r="C999" s="34"/>
      <c r="D999" s="17"/>
      <c r="E999" s="257"/>
      <c r="F999" s="164"/>
    </row>
    <row r="1000" spans="1:6" x14ac:dyDescent="0.2">
      <c r="A1000" s="90" t="s">
        <v>273</v>
      </c>
      <c r="B1000" s="91"/>
      <c r="C1000" s="92"/>
      <c r="D1000" s="19" t="s">
        <v>233</v>
      </c>
      <c r="E1000" s="258" t="s">
        <v>2</v>
      </c>
      <c r="F1000" s="165"/>
    </row>
    <row r="1001" spans="1:6" ht="15" thickBot="1" x14ac:dyDescent="0.25">
      <c r="A1001" s="20"/>
      <c r="B1001" s="37"/>
      <c r="C1001" s="38"/>
      <c r="D1001" s="21"/>
      <c r="E1001" s="259"/>
      <c r="F1001" s="166"/>
    </row>
    <row r="1002" spans="1:6" ht="15" thickBot="1" x14ac:dyDescent="0.25">
      <c r="A1002" s="22" t="s">
        <v>234</v>
      </c>
      <c r="B1002" s="41" t="s">
        <v>235</v>
      </c>
      <c r="C1002" s="42" t="s">
        <v>236</v>
      </c>
      <c r="D1002" s="23" t="s">
        <v>237</v>
      </c>
      <c r="E1002" s="260" t="s">
        <v>67</v>
      </c>
      <c r="F1002" s="167" t="s">
        <v>238</v>
      </c>
    </row>
    <row r="1003" spans="1:6" ht="15.75" thickTop="1" x14ac:dyDescent="0.25">
      <c r="A1003" s="24" t="s">
        <v>239</v>
      </c>
      <c r="B1003" s="44"/>
      <c r="C1003" s="45"/>
      <c r="D1003" s="25"/>
      <c r="E1003" s="261"/>
      <c r="F1003" s="168"/>
    </row>
    <row r="1004" spans="1:6" x14ac:dyDescent="0.2">
      <c r="A1004" s="27" t="s">
        <v>142</v>
      </c>
      <c r="B1004" s="44">
        <f>(20094*1.19)/6</f>
        <v>3985.31</v>
      </c>
      <c r="C1004" s="54">
        <v>6.3</v>
      </c>
      <c r="D1004" s="25" t="s">
        <v>138</v>
      </c>
      <c r="E1004" s="261">
        <v>0.05</v>
      </c>
      <c r="F1004" s="168">
        <f t="shared" ref="F1004:F1013" si="18">B1004*C1004*(1+E1004)</f>
        <v>26362.825649999999</v>
      </c>
    </row>
    <row r="1005" spans="1:6" x14ac:dyDescent="0.2">
      <c r="A1005" s="27" t="s">
        <v>127</v>
      </c>
      <c r="B1005" s="44">
        <f>413*1.19</f>
        <v>491.46999999999997</v>
      </c>
      <c r="C1005" s="54">
        <v>1</v>
      </c>
      <c r="D1005" s="25" t="s">
        <v>101</v>
      </c>
      <c r="E1005" s="261">
        <v>0</v>
      </c>
      <c r="F1005" s="168">
        <f t="shared" si="18"/>
        <v>491.46999999999997</v>
      </c>
    </row>
    <row r="1006" spans="1:6" x14ac:dyDescent="0.2">
      <c r="A1006" s="27" t="s">
        <v>122</v>
      </c>
      <c r="B1006" s="44">
        <v>38000</v>
      </c>
      <c r="C1006" s="54">
        <v>6.25E-2</v>
      </c>
      <c r="D1006" s="25" t="s">
        <v>103</v>
      </c>
      <c r="E1006" s="261">
        <v>0.01</v>
      </c>
      <c r="F1006" s="168">
        <f t="shared" si="18"/>
        <v>2398.75</v>
      </c>
    </row>
    <row r="1007" spans="1:6" x14ac:dyDescent="0.2">
      <c r="A1007" s="27" t="s">
        <v>123</v>
      </c>
      <c r="B1007" s="44">
        <v>62900</v>
      </c>
      <c r="C1007" s="54">
        <v>6.25E-2</v>
      </c>
      <c r="D1007" s="25" t="s">
        <v>103</v>
      </c>
      <c r="E1007" s="261">
        <v>0.01</v>
      </c>
      <c r="F1007" s="168">
        <f t="shared" si="18"/>
        <v>3970.5625</v>
      </c>
    </row>
    <row r="1008" spans="1:6" x14ac:dyDescent="0.2">
      <c r="A1008" s="27" t="s">
        <v>143</v>
      </c>
      <c r="B1008" s="44">
        <f>(1334*1.19)</f>
        <v>1587.46</v>
      </c>
      <c r="C1008" s="54">
        <v>1</v>
      </c>
      <c r="D1008" s="25" t="s">
        <v>101</v>
      </c>
      <c r="E1008" s="261">
        <v>0</v>
      </c>
      <c r="F1008" s="168">
        <f t="shared" si="18"/>
        <v>1587.46</v>
      </c>
    </row>
    <row r="1009" spans="1:7" x14ac:dyDescent="0.2">
      <c r="A1009" s="27" t="s">
        <v>128</v>
      </c>
      <c r="B1009" s="44">
        <v>764</v>
      </c>
      <c r="C1009" s="54">
        <v>1</v>
      </c>
      <c r="D1009" s="25" t="s">
        <v>101</v>
      </c>
      <c r="E1009" s="261">
        <v>0</v>
      </c>
      <c r="F1009" s="168">
        <f t="shared" si="18"/>
        <v>764</v>
      </c>
    </row>
    <row r="1010" spans="1:7" x14ac:dyDescent="0.2">
      <c r="A1010" s="27" t="s">
        <v>144</v>
      </c>
      <c r="B1010" s="44">
        <f>912*1.19</f>
        <v>1085.28</v>
      </c>
      <c r="C1010" s="54">
        <v>1</v>
      </c>
      <c r="D1010" s="25" t="s">
        <v>101</v>
      </c>
      <c r="E1010" s="261">
        <v>0</v>
      </c>
      <c r="F1010" s="168">
        <f t="shared" si="18"/>
        <v>1085.28</v>
      </c>
    </row>
    <row r="1011" spans="1:7" x14ac:dyDescent="0.2">
      <c r="A1011" s="27" t="s">
        <v>145</v>
      </c>
      <c r="B1011" s="44">
        <v>2039.8696666666665</v>
      </c>
      <c r="C1011" s="54">
        <v>2.4000000000000004</v>
      </c>
      <c r="D1011" s="25" t="s">
        <v>138</v>
      </c>
      <c r="E1011" s="261">
        <v>0</v>
      </c>
      <c r="F1011" s="168">
        <f t="shared" si="18"/>
        <v>4895.6872000000003</v>
      </c>
    </row>
    <row r="1012" spans="1:7" x14ac:dyDescent="0.2">
      <c r="A1012" s="27" t="s">
        <v>126</v>
      </c>
      <c r="B1012" s="44">
        <v>342</v>
      </c>
      <c r="C1012" s="54">
        <v>3</v>
      </c>
      <c r="D1012" s="25" t="s">
        <v>101</v>
      </c>
      <c r="E1012" s="261">
        <v>0</v>
      </c>
      <c r="F1012" s="168">
        <f t="shared" si="18"/>
        <v>1026</v>
      </c>
    </row>
    <row r="1013" spans="1:7" x14ac:dyDescent="0.2">
      <c r="A1013" s="27" t="s">
        <v>140</v>
      </c>
      <c r="B1013" s="44">
        <f>318*1.19</f>
        <v>378.41999999999996</v>
      </c>
      <c r="C1013" s="54">
        <v>2</v>
      </c>
      <c r="D1013" s="25" t="s">
        <v>101</v>
      </c>
      <c r="E1013" s="261">
        <v>0</v>
      </c>
      <c r="F1013" s="168">
        <f t="shared" si="18"/>
        <v>756.83999999999992</v>
      </c>
    </row>
    <row r="1014" spans="1:7" ht="15" thickBot="1" x14ac:dyDescent="0.25">
      <c r="A1014" s="20"/>
      <c r="B1014" s="39"/>
      <c r="C1014" s="38"/>
      <c r="D1014" s="21"/>
      <c r="E1014" s="259"/>
      <c r="F1014" s="166"/>
      <c r="G1014" s="55">
        <f>SUM(F1004:F1013)</f>
        <v>43338.875349999995</v>
      </c>
    </row>
    <row r="1015" spans="1:7" ht="15" x14ac:dyDescent="0.25">
      <c r="A1015" s="28" t="s">
        <v>240</v>
      </c>
      <c r="B1015" s="49"/>
      <c r="C1015" s="50"/>
      <c r="D1015" s="29"/>
      <c r="E1015" s="262"/>
      <c r="F1015" s="164"/>
    </row>
    <row r="1016" spans="1:7" x14ac:dyDescent="0.2">
      <c r="A1016" s="27" t="s">
        <v>158</v>
      </c>
      <c r="B1016" s="83">
        <v>2166.9437674999999</v>
      </c>
      <c r="C1016" s="45">
        <v>1</v>
      </c>
      <c r="D1016" s="25" t="s">
        <v>101</v>
      </c>
      <c r="E1016" s="261">
        <v>0</v>
      </c>
      <c r="F1016" s="168">
        <f>+B1016*C1016*(1+E1016)</f>
        <v>2166.9437674999999</v>
      </c>
    </row>
    <row r="1017" spans="1:7" x14ac:dyDescent="0.2">
      <c r="A1017" s="27"/>
      <c r="B1017" s="44"/>
      <c r="C1017" s="45"/>
      <c r="D1017" s="25"/>
      <c r="E1017" s="261"/>
      <c r="F1017" s="168"/>
    </row>
    <row r="1018" spans="1:7" ht="15" thickBot="1" x14ac:dyDescent="0.25">
      <c r="A1018" s="20"/>
      <c r="B1018" s="39"/>
      <c r="C1018" s="38"/>
      <c r="D1018" s="21"/>
      <c r="E1018" s="259"/>
      <c r="F1018" s="166"/>
    </row>
    <row r="1019" spans="1:7" ht="15" x14ac:dyDescent="0.25">
      <c r="A1019" s="28" t="s">
        <v>116</v>
      </c>
      <c r="B1019" s="49"/>
      <c r="C1019" s="50"/>
      <c r="D1019" s="29"/>
      <c r="E1019" s="262"/>
      <c r="F1019" s="164"/>
    </row>
    <row r="1020" spans="1:7" x14ac:dyDescent="0.2">
      <c r="A1020" s="27" t="s">
        <v>92</v>
      </c>
      <c r="B1020" s="83">
        <v>1300.1662604999999</v>
      </c>
      <c r="C1020" s="45">
        <v>1</v>
      </c>
      <c r="D1020" s="25" t="s">
        <v>85</v>
      </c>
      <c r="E1020" s="261">
        <v>0</v>
      </c>
      <c r="F1020" s="168">
        <f>+B1020*C1020*(1+E1020)</f>
        <v>1300.1662604999999</v>
      </c>
    </row>
    <row r="1021" spans="1:7" ht="15" thickBot="1" x14ac:dyDescent="0.25">
      <c r="A1021" s="20"/>
      <c r="B1021" s="39"/>
      <c r="C1021" s="38"/>
      <c r="D1021" s="21"/>
      <c r="E1021" s="259"/>
      <c r="F1021" s="166"/>
    </row>
    <row r="1022" spans="1:7" ht="15" x14ac:dyDescent="0.25">
      <c r="A1022" s="24" t="s">
        <v>70</v>
      </c>
      <c r="B1022" s="44"/>
      <c r="C1022" s="45"/>
      <c r="D1022" s="25"/>
      <c r="E1022" s="261"/>
      <c r="F1022" s="168"/>
    </row>
    <row r="1023" spans="1:7" x14ac:dyDescent="0.2">
      <c r="A1023" s="27" t="s">
        <v>70</v>
      </c>
      <c r="B1023" s="44">
        <v>11327.304895833335</v>
      </c>
      <c r="C1023" s="45">
        <v>1.6</v>
      </c>
      <c r="D1023" s="25" t="s">
        <v>102</v>
      </c>
      <c r="E1023" s="261">
        <v>0</v>
      </c>
      <c r="F1023" s="168">
        <f>+B1023*C1023*(1+E1023)</f>
        <v>18123.687833333337</v>
      </c>
    </row>
    <row r="1024" spans="1:7" ht="15" thickBot="1" x14ac:dyDescent="0.25">
      <c r="A1024" s="27"/>
      <c r="B1024" s="44"/>
      <c r="C1024" s="45"/>
      <c r="D1024" s="25"/>
      <c r="E1024" s="261"/>
      <c r="F1024" s="168"/>
    </row>
    <row r="1025" spans="1:7" ht="15.75" thickBot="1" x14ac:dyDescent="0.3">
      <c r="A1025" s="30"/>
      <c r="B1025" s="52"/>
      <c r="C1025" s="53"/>
      <c r="D1025" s="31"/>
      <c r="E1025" s="263" t="s">
        <v>241</v>
      </c>
      <c r="F1025" s="169">
        <f>SUM(F1004:F1023)</f>
        <v>64929.673211333335</v>
      </c>
    </row>
    <row r="1027" spans="1:7" ht="15" thickBot="1" x14ac:dyDescent="0.25"/>
    <row r="1028" spans="1:7" x14ac:dyDescent="0.2">
      <c r="A1028" s="16" t="s">
        <v>270</v>
      </c>
      <c r="B1028" s="33"/>
      <c r="C1028" s="34"/>
      <c r="D1028" s="17"/>
      <c r="E1028" s="257"/>
      <c r="F1028" s="164"/>
    </row>
    <row r="1029" spans="1:7" ht="25.5" x14ac:dyDescent="0.2">
      <c r="A1029" s="90" t="s">
        <v>322</v>
      </c>
      <c r="B1029" s="91"/>
      <c r="C1029" s="92"/>
      <c r="D1029" s="19" t="s">
        <v>233</v>
      </c>
      <c r="E1029" s="258" t="s">
        <v>2</v>
      </c>
      <c r="F1029" s="165"/>
    </row>
    <row r="1030" spans="1:7" ht="15" thickBot="1" x14ac:dyDescent="0.25">
      <c r="A1030" s="20"/>
      <c r="B1030" s="37"/>
      <c r="C1030" s="38"/>
      <c r="D1030" s="21"/>
      <c r="E1030" s="259"/>
      <c r="F1030" s="166"/>
    </row>
    <row r="1031" spans="1:7" ht="15" thickBot="1" x14ac:dyDescent="0.25">
      <c r="A1031" s="22" t="s">
        <v>234</v>
      </c>
      <c r="B1031" s="41" t="s">
        <v>235</v>
      </c>
      <c r="C1031" s="42" t="s">
        <v>236</v>
      </c>
      <c r="D1031" s="23" t="s">
        <v>237</v>
      </c>
      <c r="E1031" s="260" t="s">
        <v>67</v>
      </c>
      <c r="F1031" s="167" t="s">
        <v>238</v>
      </c>
    </row>
    <row r="1032" spans="1:7" ht="15.75" thickTop="1" x14ac:dyDescent="0.25">
      <c r="A1032" s="24" t="s">
        <v>239</v>
      </c>
      <c r="B1032" s="44"/>
      <c r="C1032" s="45"/>
      <c r="D1032" s="25"/>
      <c r="E1032" s="261"/>
      <c r="F1032" s="168"/>
    </row>
    <row r="1033" spans="1:7" x14ac:dyDescent="0.2">
      <c r="A1033" s="27" t="s">
        <v>203</v>
      </c>
      <c r="B1033" s="44">
        <v>6688</v>
      </c>
      <c r="C1033" s="54">
        <v>3.35</v>
      </c>
      <c r="D1033" s="25" t="s">
        <v>138</v>
      </c>
      <c r="E1033" s="261">
        <v>0.03</v>
      </c>
      <c r="F1033" s="168">
        <f>B1033*C1033*(1+E1033)</f>
        <v>23076.944</v>
      </c>
    </row>
    <row r="1034" spans="1:7" x14ac:dyDescent="0.2">
      <c r="A1034" s="27" t="s">
        <v>122</v>
      </c>
      <c r="B1034" s="44">
        <v>38000</v>
      </c>
      <c r="C1034" s="54">
        <v>3.125E-2</v>
      </c>
      <c r="D1034" s="25" t="s">
        <v>101</v>
      </c>
      <c r="E1034" s="261">
        <v>0.01</v>
      </c>
      <c r="F1034" s="168">
        <f>B1034*C1034*(1+E1034)</f>
        <v>1199.375</v>
      </c>
    </row>
    <row r="1035" spans="1:7" x14ac:dyDescent="0.2">
      <c r="A1035" s="27" t="s">
        <v>123</v>
      </c>
      <c r="B1035" s="44">
        <v>62900</v>
      </c>
      <c r="C1035" s="54">
        <v>3.125E-2</v>
      </c>
      <c r="D1035" s="25" t="s">
        <v>103</v>
      </c>
      <c r="E1035" s="261">
        <v>0.01</v>
      </c>
      <c r="F1035" s="168">
        <f>B1035*C1035*(1+E1035)</f>
        <v>1985.28125</v>
      </c>
    </row>
    <row r="1036" spans="1:7" x14ac:dyDescent="0.2">
      <c r="A1036" s="27" t="s">
        <v>204</v>
      </c>
      <c r="B1036" s="44">
        <v>2927</v>
      </c>
      <c r="C1036" s="54">
        <v>5</v>
      </c>
      <c r="D1036" s="25" t="s">
        <v>103</v>
      </c>
      <c r="E1036" s="261">
        <v>0</v>
      </c>
      <c r="F1036" s="168">
        <f>B1036*C1036*(1+E1036)</f>
        <v>14635</v>
      </c>
    </row>
    <row r="1037" spans="1:7" x14ac:dyDescent="0.2">
      <c r="A1037" s="27" t="s">
        <v>205</v>
      </c>
      <c r="B1037" s="44">
        <v>23400</v>
      </c>
      <c r="C1037" s="54">
        <v>1</v>
      </c>
      <c r="D1037" s="25" t="s">
        <v>101</v>
      </c>
      <c r="E1037" s="261">
        <v>0</v>
      </c>
      <c r="F1037" s="168">
        <f>B1037*C1037*(1+E1037)</f>
        <v>23400</v>
      </c>
    </row>
    <row r="1038" spans="1:7" ht="15" thickBot="1" x14ac:dyDescent="0.25">
      <c r="A1038" s="20"/>
      <c r="B1038" s="39"/>
      <c r="C1038" s="38"/>
      <c r="D1038" s="21"/>
      <c r="E1038" s="259"/>
      <c r="F1038" s="166"/>
      <c r="G1038" s="55">
        <f>SUM(F1033:F1037)</f>
        <v>64296.600250000003</v>
      </c>
    </row>
    <row r="1039" spans="1:7" ht="15" x14ac:dyDescent="0.25">
      <c r="A1039" s="28" t="s">
        <v>240</v>
      </c>
      <c r="B1039" s="49"/>
      <c r="C1039" s="50"/>
      <c r="D1039" s="29"/>
      <c r="E1039" s="262"/>
      <c r="F1039" s="164"/>
    </row>
    <row r="1040" spans="1:7" x14ac:dyDescent="0.2">
      <c r="A1040" s="27" t="s">
        <v>158</v>
      </c>
      <c r="B1040" s="83">
        <v>3214.8300125000005</v>
      </c>
      <c r="C1040" s="45">
        <v>1</v>
      </c>
      <c r="D1040" s="25" t="s">
        <v>101</v>
      </c>
      <c r="E1040" s="261">
        <v>0</v>
      </c>
      <c r="F1040" s="168">
        <f>+B1040*C1040*(1+E1040)</f>
        <v>3214.8300125000005</v>
      </c>
    </row>
    <row r="1041" spans="1:6" x14ac:dyDescent="0.2">
      <c r="A1041" s="27"/>
      <c r="B1041" s="44"/>
      <c r="C1041" s="45"/>
      <c r="D1041" s="25"/>
      <c r="E1041" s="261"/>
      <c r="F1041" s="168"/>
    </row>
    <row r="1042" spans="1:6" ht="15" thickBot="1" x14ac:dyDescent="0.25">
      <c r="A1042" s="20"/>
      <c r="B1042" s="39"/>
      <c r="C1042" s="38"/>
      <c r="D1042" s="21"/>
      <c r="E1042" s="259"/>
      <c r="F1042" s="166"/>
    </row>
    <row r="1043" spans="1:6" ht="15" x14ac:dyDescent="0.25">
      <c r="A1043" s="28" t="s">
        <v>116</v>
      </c>
      <c r="B1043" s="49"/>
      <c r="C1043" s="50"/>
      <c r="D1043" s="29"/>
      <c r="E1043" s="262"/>
      <c r="F1043" s="164"/>
    </row>
    <row r="1044" spans="1:6" x14ac:dyDescent="0.2">
      <c r="A1044" s="27" t="s">
        <v>92</v>
      </c>
      <c r="B1044" s="83">
        <v>1928.8980074999999</v>
      </c>
      <c r="C1044" s="45">
        <v>1</v>
      </c>
      <c r="D1044" s="25" t="s">
        <v>85</v>
      </c>
      <c r="E1044" s="261">
        <v>0</v>
      </c>
      <c r="F1044" s="168">
        <f>+B1044*C1044*(1+E1044)</f>
        <v>1928.8980074999999</v>
      </c>
    </row>
    <row r="1045" spans="1:6" ht="15" thickBot="1" x14ac:dyDescent="0.25">
      <c r="A1045" s="20"/>
      <c r="B1045" s="39"/>
      <c r="C1045" s="38"/>
      <c r="D1045" s="21"/>
      <c r="E1045" s="259"/>
      <c r="F1045" s="166"/>
    </row>
    <row r="1046" spans="1:6" ht="15" x14ac:dyDescent="0.25">
      <c r="A1046" s="24" t="s">
        <v>70</v>
      </c>
      <c r="B1046" s="44"/>
      <c r="C1046" s="45"/>
      <c r="D1046" s="25"/>
      <c r="E1046" s="261"/>
      <c r="F1046" s="168"/>
    </row>
    <row r="1047" spans="1:6" x14ac:dyDescent="0.2">
      <c r="A1047" s="27" t="s">
        <v>70</v>
      </c>
      <c r="B1047" s="44">
        <v>11327.304895833335</v>
      </c>
      <c r="C1047" s="45">
        <v>1.6</v>
      </c>
      <c r="D1047" s="25" t="s">
        <v>102</v>
      </c>
      <c r="E1047" s="261">
        <v>0</v>
      </c>
      <c r="F1047" s="168">
        <f>+B1047*C1047*(1+E1047)</f>
        <v>18123.687833333337</v>
      </c>
    </row>
    <row r="1048" spans="1:6" ht="15" thickBot="1" x14ac:dyDescent="0.25">
      <c r="A1048" s="27"/>
      <c r="B1048" s="44"/>
      <c r="C1048" s="45"/>
      <c r="D1048" s="25"/>
      <c r="E1048" s="261"/>
      <c r="F1048" s="168"/>
    </row>
    <row r="1049" spans="1:6" ht="15.75" thickBot="1" x14ac:dyDescent="0.3">
      <c r="A1049" s="30"/>
      <c r="B1049" s="52"/>
      <c r="C1049" s="53"/>
      <c r="D1049" s="31"/>
      <c r="E1049" s="263" t="s">
        <v>241</v>
      </c>
      <c r="F1049" s="169">
        <f>SUM(F1033:F1047)</f>
        <v>87564.016103333328</v>
      </c>
    </row>
    <row r="1050" spans="1:6" ht="15" x14ac:dyDescent="0.25">
      <c r="A1050" s="26"/>
      <c r="B1050" s="44"/>
      <c r="C1050" s="45"/>
      <c r="D1050" s="25"/>
      <c r="E1050" s="271"/>
      <c r="F1050" s="176"/>
    </row>
    <row r="1051" spans="1:6" ht="15" thickBot="1" x14ac:dyDescent="0.25"/>
    <row r="1052" spans="1:6" x14ac:dyDescent="0.2">
      <c r="A1052" s="16" t="s">
        <v>270</v>
      </c>
      <c r="B1052" s="33"/>
      <c r="C1052" s="34"/>
      <c r="D1052" s="17"/>
      <c r="E1052" s="257"/>
      <c r="F1052" s="164"/>
    </row>
    <row r="1053" spans="1:6" ht="25.5" x14ac:dyDescent="0.2">
      <c r="A1053" s="90" t="s">
        <v>323</v>
      </c>
      <c r="B1053" s="91"/>
      <c r="C1053" s="92"/>
      <c r="D1053" s="19" t="s">
        <v>233</v>
      </c>
      <c r="E1053" s="258" t="s">
        <v>2</v>
      </c>
      <c r="F1053" s="165"/>
    </row>
    <row r="1054" spans="1:6" ht="15" thickBot="1" x14ac:dyDescent="0.25">
      <c r="A1054" s="20"/>
      <c r="B1054" s="37"/>
      <c r="C1054" s="38"/>
      <c r="D1054" s="21"/>
      <c r="E1054" s="259"/>
      <c r="F1054" s="166"/>
    </row>
    <row r="1055" spans="1:6" ht="15" thickBot="1" x14ac:dyDescent="0.25">
      <c r="A1055" s="22" t="s">
        <v>234</v>
      </c>
      <c r="B1055" s="41" t="s">
        <v>235</v>
      </c>
      <c r="C1055" s="42" t="s">
        <v>236</v>
      </c>
      <c r="D1055" s="23" t="s">
        <v>237</v>
      </c>
      <c r="E1055" s="260" t="s">
        <v>67</v>
      </c>
      <c r="F1055" s="167" t="s">
        <v>238</v>
      </c>
    </row>
    <row r="1056" spans="1:6" ht="15.75" thickTop="1" x14ac:dyDescent="0.25">
      <c r="A1056" s="24" t="s">
        <v>239</v>
      </c>
      <c r="B1056" s="44"/>
      <c r="C1056" s="45"/>
      <c r="D1056" s="25"/>
      <c r="E1056" s="261"/>
      <c r="F1056" s="168"/>
    </row>
    <row r="1057" spans="1:7" x14ac:dyDescent="0.2">
      <c r="A1057" s="27" t="s">
        <v>203</v>
      </c>
      <c r="B1057" s="44">
        <v>6688</v>
      </c>
      <c r="C1057" s="54">
        <v>3.35</v>
      </c>
      <c r="D1057" s="25" t="s">
        <v>138</v>
      </c>
      <c r="E1057" s="261">
        <v>0.03</v>
      </c>
      <c r="F1057" s="168">
        <f>B1057*C1057*(1+E1057)</f>
        <v>23076.944</v>
      </c>
    </row>
    <row r="1058" spans="1:7" x14ac:dyDescent="0.2">
      <c r="A1058" s="27" t="s">
        <v>122</v>
      </c>
      <c r="B1058" s="44">
        <v>38000</v>
      </c>
      <c r="C1058" s="54">
        <v>3.125E-2</v>
      </c>
      <c r="D1058" s="25" t="s">
        <v>101</v>
      </c>
      <c r="E1058" s="261">
        <v>0</v>
      </c>
      <c r="F1058" s="168">
        <f>B1058*C1058*(1+E1058)</f>
        <v>1187.5</v>
      </c>
    </row>
    <row r="1059" spans="1:7" x14ac:dyDescent="0.2">
      <c r="A1059" s="27" t="s">
        <v>123</v>
      </c>
      <c r="B1059" s="44">
        <v>62900</v>
      </c>
      <c r="C1059" s="54">
        <v>3.125E-2</v>
      </c>
      <c r="D1059" s="25" t="s">
        <v>103</v>
      </c>
      <c r="E1059" s="261">
        <v>0.03</v>
      </c>
      <c r="F1059" s="168">
        <f>B1059*C1059*(1+E1059)</f>
        <v>2024.59375</v>
      </c>
    </row>
    <row r="1060" spans="1:7" x14ac:dyDescent="0.2">
      <c r="A1060" s="27" t="s">
        <v>204</v>
      </c>
      <c r="B1060" s="44">
        <v>2927</v>
      </c>
      <c r="C1060" s="54">
        <v>5</v>
      </c>
      <c r="D1060" s="25" t="s">
        <v>103</v>
      </c>
      <c r="E1060" s="261">
        <v>0.03</v>
      </c>
      <c r="F1060" s="168">
        <f>B1060*C1060*(1+E1060)</f>
        <v>15074.050000000001</v>
      </c>
    </row>
    <row r="1061" spans="1:7" x14ac:dyDescent="0.2">
      <c r="A1061" s="27" t="s">
        <v>205</v>
      </c>
      <c r="B1061" s="44">
        <v>23400</v>
      </c>
      <c r="C1061" s="54">
        <v>1</v>
      </c>
      <c r="D1061" s="25" t="s">
        <v>101</v>
      </c>
      <c r="E1061" s="261">
        <v>0</v>
      </c>
      <c r="F1061" s="168">
        <f>B1061*C1061*(1+E1061)</f>
        <v>23400</v>
      </c>
    </row>
    <row r="1062" spans="1:7" ht="15" thickBot="1" x14ac:dyDescent="0.25">
      <c r="A1062" s="20"/>
      <c r="B1062" s="39"/>
      <c r="C1062" s="38"/>
      <c r="D1062" s="21"/>
      <c r="E1062" s="259"/>
      <c r="F1062" s="166"/>
      <c r="G1062" s="55">
        <f>SUM(F1057:F1061)</f>
        <v>64763.087749999999</v>
      </c>
    </row>
    <row r="1063" spans="1:7" ht="15" x14ac:dyDescent="0.25">
      <c r="A1063" s="28" t="s">
        <v>240</v>
      </c>
      <c r="B1063" s="49"/>
      <c r="C1063" s="50"/>
      <c r="D1063" s="29"/>
      <c r="E1063" s="262"/>
      <c r="F1063" s="164"/>
    </row>
    <row r="1064" spans="1:7" x14ac:dyDescent="0.2">
      <c r="A1064" s="27" t="s">
        <v>158</v>
      </c>
      <c r="B1064" s="83">
        <v>3238.1543875000002</v>
      </c>
      <c r="C1064" s="45">
        <v>1</v>
      </c>
      <c r="D1064" s="25" t="s">
        <v>101</v>
      </c>
      <c r="E1064" s="261">
        <v>0</v>
      </c>
      <c r="F1064" s="168">
        <f>+B1064*C1064*(1+E1064)</f>
        <v>3238.1543875000002</v>
      </c>
    </row>
    <row r="1065" spans="1:7" x14ac:dyDescent="0.2">
      <c r="A1065" s="27"/>
      <c r="B1065" s="44"/>
      <c r="C1065" s="45"/>
      <c r="D1065" s="25"/>
      <c r="E1065" s="261"/>
      <c r="F1065" s="168"/>
    </row>
    <row r="1066" spans="1:7" ht="15" thickBot="1" x14ac:dyDescent="0.25">
      <c r="A1066" s="20"/>
      <c r="B1066" s="39"/>
      <c r="C1066" s="38"/>
      <c r="D1066" s="21"/>
      <c r="E1066" s="259"/>
      <c r="F1066" s="166"/>
    </row>
    <row r="1067" spans="1:7" ht="15" x14ac:dyDescent="0.25">
      <c r="A1067" s="28" t="s">
        <v>116</v>
      </c>
      <c r="B1067" s="49"/>
      <c r="C1067" s="50"/>
      <c r="D1067" s="29"/>
      <c r="E1067" s="262"/>
      <c r="F1067" s="164"/>
    </row>
    <row r="1068" spans="1:7" x14ac:dyDescent="0.2">
      <c r="A1068" s="27" t="s">
        <v>92</v>
      </c>
      <c r="B1068" s="83">
        <v>1942.8926325</v>
      </c>
      <c r="C1068" s="45">
        <v>1</v>
      </c>
      <c r="D1068" s="25" t="s">
        <v>85</v>
      </c>
      <c r="E1068" s="261">
        <v>0</v>
      </c>
      <c r="F1068" s="168">
        <f>+B1068*C1068*(1+E1068)</f>
        <v>1942.8926325</v>
      </c>
    </row>
    <row r="1069" spans="1:7" ht="15" thickBot="1" x14ac:dyDescent="0.25">
      <c r="A1069" s="20"/>
      <c r="B1069" s="39"/>
      <c r="C1069" s="38"/>
      <c r="D1069" s="21"/>
      <c r="E1069" s="259"/>
      <c r="F1069" s="166"/>
    </row>
    <row r="1070" spans="1:7" ht="15" x14ac:dyDescent="0.25">
      <c r="A1070" s="24" t="s">
        <v>70</v>
      </c>
      <c r="B1070" s="44"/>
      <c r="C1070" s="45"/>
      <c r="D1070" s="25"/>
      <c r="E1070" s="261"/>
      <c r="F1070" s="168"/>
    </row>
    <row r="1071" spans="1:7" x14ac:dyDescent="0.2">
      <c r="A1071" s="27" t="s">
        <v>70</v>
      </c>
      <c r="B1071" s="44">
        <v>11327.304895833335</v>
      </c>
      <c r="C1071" s="45">
        <v>1.6</v>
      </c>
      <c r="D1071" s="25" t="s">
        <v>102</v>
      </c>
      <c r="E1071" s="261">
        <v>0</v>
      </c>
      <c r="F1071" s="168">
        <f>+B1071*C1071*(1+E1071)</f>
        <v>18123.687833333337</v>
      </c>
    </row>
    <row r="1072" spans="1:7" ht="15" thickBot="1" x14ac:dyDescent="0.25">
      <c r="A1072" s="27"/>
      <c r="B1072" s="44"/>
      <c r="C1072" s="45"/>
      <c r="D1072" s="25"/>
      <c r="E1072" s="261"/>
      <c r="F1072" s="168"/>
    </row>
    <row r="1073" spans="1:6" ht="15.75" thickBot="1" x14ac:dyDescent="0.3">
      <c r="A1073" s="30"/>
      <c r="B1073" s="52"/>
      <c r="C1073" s="53"/>
      <c r="D1073" s="31"/>
      <c r="E1073" s="263" t="s">
        <v>241</v>
      </c>
      <c r="F1073" s="169">
        <f>SUM(F1057:F1071)</f>
        <v>88067.822603333334</v>
      </c>
    </row>
    <row r="1076" spans="1:6" ht="15" thickBot="1" x14ac:dyDescent="0.25"/>
    <row r="1077" spans="1:6" x14ac:dyDescent="0.2">
      <c r="A1077" s="16" t="s">
        <v>270</v>
      </c>
      <c r="B1077" s="33"/>
      <c r="C1077" s="34"/>
      <c r="D1077" s="17"/>
      <c r="E1077" s="257"/>
      <c r="F1077" s="164"/>
    </row>
    <row r="1078" spans="1:6" x14ac:dyDescent="0.2">
      <c r="A1078" s="90" t="s">
        <v>405</v>
      </c>
      <c r="B1078" s="91"/>
      <c r="C1078" s="92"/>
      <c r="D1078" s="19" t="s">
        <v>233</v>
      </c>
      <c r="E1078" s="258" t="s">
        <v>2</v>
      </c>
      <c r="F1078" s="165"/>
    </row>
    <row r="1079" spans="1:6" ht="15" thickBot="1" x14ac:dyDescent="0.25">
      <c r="A1079" s="20"/>
      <c r="B1079" s="37"/>
      <c r="C1079" s="38"/>
      <c r="D1079" s="21"/>
      <c r="E1079" s="259"/>
      <c r="F1079" s="166"/>
    </row>
    <row r="1080" spans="1:6" ht="15" thickBot="1" x14ac:dyDescent="0.25">
      <c r="A1080" s="22" t="s">
        <v>234</v>
      </c>
      <c r="B1080" s="41" t="s">
        <v>235</v>
      </c>
      <c r="C1080" s="42" t="s">
        <v>236</v>
      </c>
      <c r="D1080" s="23" t="s">
        <v>237</v>
      </c>
      <c r="E1080" s="260" t="s">
        <v>67</v>
      </c>
      <c r="F1080" s="167" t="s">
        <v>238</v>
      </c>
    </row>
    <row r="1081" spans="1:6" ht="15.75" thickTop="1" x14ac:dyDescent="0.25">
      <c r="A1081" s="24" t="s">
        <v>239</v>
      </c>
      <c r="B1081" s="44"/>
      <c r="C1081" s="45"/>
      <c r="D1081" s="25"/>
      <c r="E1081" s="261"/>
      <c r="F1081" s="168"/>
    </row>
    <row r="1082" spans="1:6" x14ac:dyDescent="0.2">
      <c r="A1082" s="27" t="s">
        <v>402</v>
      </c>
      <c r="B1082" s="44">
        <f>(249234*1.19)/6</f>
        <v>49431.409999999996</v>
      </c>
      <c r="C1082" s="54">
        <v>2</v>
      </c>
      <c r="D1082" s="25" t="s">
        <v>138</v>
      </c>
      <c r="E1082" s="261">
        <v>0.03</v>
      </c>
      <c r="F1082" s="168">
        <f t="shared" ref="F1082:F1089" si="19">B1082*C1082*(1+E1082)</f>
        <v>101828.7046</v>
      </c>
    </row>
    <row r="1083" spans="1:6" x14ac:dyDescent="0.2">
      <c r="A1083" s="27" t="s">
        <v>122</v>
      </c>
      <c r="B1083" s="44">
        <v>38000</v>
      </c>
      <c r="C1083" s="54">
        <v>0.04</v>
      </c>
      <c r="D1083" s="25" t="s">
        <v>101</v>
      </c>
      <c r="E1083" s="261">
        <v>0.01</v>
      </c>
      <c r="F1083" s="168">
        <f t="shared" si="19"/>
        <v>1535.2</v>
      </c>
    </row>
    <row r="1084" spans="1:6" x14ac:dyDescent="0.2">
      <c r="A1084" s="27" t="s">
        <v>123</v>
      </c>
      <c r="B1084" s="44">
        <v>62900</v>
      </c>
      <c r="C1084" s="54">
        <v>0.04</v>
      </c>
      <c r="D1084" s="25" t="s">
        <v>103</v>
      </c>
      <c r="E1084" s="261">
        <v>0.01</v>
      </c>
      <c r="F1084" s="168">
        <f t="shared" si="19"/>
        <v>2541.16</v>
      </c>
    </row>
    <row r="1085" spans="1:6" x14ac:dyDescent="0.2">
      <c r="A1085" s="27" t="s">
        <v>156</v>
      </c>
      <c r="B1085" s="44">
        <v>2927</v>
      </c>
      <c r="C1085" s="54">
        <v>1</v>
      </c>
      <c r="D1085" s="25" t="s">
        <v>103</v>
      </c>
      <c r="E1085" s="261">
        <v>0</v>
      </c>
      <c r="F1085" s="168">
        <f t="shared" si="19"/>
        <v>2927</v>
      </c>
    </row>
    <row r="1086" spans="1:6" x14ac:dyDescent="0.2">
      <c r="A1086" s="27" t="s">
        <v>147</v>
      </c>
      <c r="B1086" s="44">
        <v>23400</v>
      </c>
      <c r="C1086" s="54">
        <v>1</v>
      </c>
      <c r="D1086" s="25" t="s">
        <v>101</v>
      </c>
      <c r="E1086" s="261">
        <v>0</v>
      </c>
      <c r="F1086" s="168">
        <f t="shared" si="19"/>
        <v>23400</v>
      </c>
    </row>
    <row r="1087" spans="1:6" x14ac:dyDescent="0.2">
      <c r="A1087" s="27" t="s">
        <v>88</v>
      </c>
      <c r="B1087" s="44">
        <v>297837</v>
      </c>
      <c r="C1087" s="54">
        <v>0.2</v>
      </c>
      <c r="D1087" s="25" t="s">
        <v>69</v>
      </c>
      <c r="E1087" s="261">
        <v>0.05</v>
      </c>
      <c r="F1087" s="168">
        <f t="shared" si="19"/>
        <v>62545.770000000004</v>
      </c>
    </row>
    <row r="1088" spans="1:6" x14ac:dyDescent="0.2">
      <c r="A1088" s="27" t="s">
        <v>403</v>
      </c>
      <c r="B1088" s="44">
        <v>612480</v>
      </c>
      <c r="C1088" s="54">
        <v>1</v>
      </c>
      <c r="D1088" s="25" t="s">
        <v>101</v>
      </c>
      <c r="E1088" s="261">
        <v>0</v>
      </c>
      <c r="F1088" s="168">
        <f t="shared" si="19"/>
        <v>612480</v>
      </c>
    </row>
    <row r="1089" spans="1:7" x14ac:dyDescent="0.2">
      <c r="A1089" s="27" t="s">
        <v>404</v>
      </c>
      <c r="B1089" s="44">
        <v>20307</v>
      </c>
      <c r="C1089" s="54">
        <v>1</v>
      </c>
      <c r="D1089" s="25" t="s">
        <v>101</v>
      </c>
      <c r="E1089" s="261">
        <v>0</v>
      </c>
      <c r="F1089" s="168">
        <f t="shared" si="19"/>
        <v>20307</v>
      </c>
    </row>
    <row r="1090" spans="1:7" ht="15" thickBot="1" x14ac:dyDescent="0.25">
      <c r="A1090" s="20"/>
      <c r="B1090" s="39"/>
      <c r="C1090" s="38"/>
      <c r="D1090" s="21"/>
      <c r="E1090" s="259"/>
      <c r="F1090" s="166"/>
      <c r="G1090" s="55">
        <f>SUM(F1082:F1089)</f>
        <v>827564.83459999994</v>
      </c>
    </row>
    <row r="1091" spans="1:7" ht="15" x14ac:dyDescent="0.25">
      <c r="A1091" s="28" t="s">
        <v>240</v>
      </c>
      <c r="B1091" s="49"/>
      <c r="C1091" s="50"/>
      <c r="D1091" s="29"/>
      <c r="E1091" s="262"/>
      <c r="F1091" s="164"/>
    </row>
    <row r="1092" spans="1:7" x14ac:dyDescent="0.2">
      <c r="A1092" s="27" t="s">
        <v>158</v>
      </c>
      <c r="B1092" s="83">
        <v>41378.241730000002</v>
      </c>
      <c r="C1092" s="45">
        <v>1</v>
      </c>
      <c r="D1092" s="25" t="s">
        <v>101</v>
      </c>
      <c r="E1092" s="261">
        <v>0</v>
      </c>
      <c r="F1092" s="168">
        <f>+B1092*C1092*(1+E1092)</f>
        <v>41378.241730000002</v>
      </c>
    </row>
    <row r="1093" spans="1:7" x14ac:dyDescent="0.2">
      <c r="A1093" s="27"/>
      <c r="B1093" s="44"/>
      <c r="C1093" s="45"/>
      <c r="D1093" s="25"/>
      <c r="E1093" s="261"/>
      <c r="F1093" s="168"/>
    </row>
    <row r="1094" spans="1:7" ht="15" thickBot="1" x14ac:dyDescent="0.25">
      <c r="A1094" s="20"/>
      <c r="B1094" s="39"/>
      <c r="C1094" s="38"/>
      <c r="D1094" s="21"/>
      <c r="E1094" s="259"/>
      <c r="F1094" s="166"/>
    </row>
    <row r="1095" spans="1:7" ht="15" x14ac:dyDescent="0.25">
      <c r="A1095" s="28" t="s">
        <v>116</v>
      </c>
      <c r="B1095" s="49"/>
      <c r="C1095" s="50"/>
      <c r="D1095" s="29"/>
      <c r="E1095" s="262"/>
      <c r="F1095" s="164"/>
    </row>
    <row r="1096" spans="1:7" x14ac:dyDescent="0.2">
      <c r="A1096" s="27" t="s">
        <v>92</v>
      </c>
      <c r="B1096" s="83">
        <v>24826.945037999998</v>
      </c>
      <c r="C1096" s="45">
        <v>1</v>
      </c>
      <c r="D1096" s="25" t="s">
        <v>85</v>
      </c>
      <c r="E1096" s="261">
        <v>0</v>
      </c>
      <c r="F1096" s="168">
        <f>+B1096*C1096*(1+E1096)</f>
        <v>24826.945037999998</v>
      </c>
    </row>
    <row r="1097" spans="1:7" ht="15" thickBot="1" x14ac:dyDescent="0.25">
      <c r="A1097" s="20"/>
      <c r="B1097" s="39"/>
      <c r="C1097" s="38"/>
      <c r="D1097" s="21"/>
      <c r="E1097" s="259"/>
      <c r="F1097" s="166"/>
    </row>
    <row r="1098" spans="1:7" ht="15" x14ac:dyDescent="0.25">
      <c r="A1098" s="24" t="s">
        <v>70</v>
      </c>
      <c r="B1098" s="44"/>
      <c r="C1098" s="45"/>
      <c r="D1098" s="25"/>
      <c r="E1098" s="261"/>
      <c r="F1098" s="168"/>
    </row>
    <row r="1099" spans="1:7" x14ac:dyDescent="0.2">
      <c r="A1099" s="27" t="s">
        <v>70</v>
      </c>
      <c r="B1099" s="44">
        <v>11327.304895833335</v>
      </c>
      <c r="C1099" s="45">
        <v>1.6</v>
      </c>
      <c r="D1099" s="25" t="s">
        <v>102</v>
      </c>
      <c r="E1099" s="261">
        <v>0</v>
      </c>
      <c r="F1099" s="168">
        <f>+B1099*C1099*(1+E1099)</f>
        <v>18123.687833333337</v>
      </c>
    </row>
    <row r="1100" spans="1:7" ht="15" thickBot="1" x14ac:dyDescent="0.25">
      <c r="A1100" s="27"/>
      <c r="B1100" s="44"/>
      <c r="C1100" s="45"/>
      <c r="D1100" s="25"/>
      <c r="E1100" s="261"/>
      <c r="F1100" s="168"/>
    </row>
    <row r="1101" spans="1:7" ht="15.75" thickBot="1" x14ac:dyDescent="0.3">
      <c r="A1101" s="30"/>
      <c r="B1101" s="52"/>
      <c r="C1101" s="53"/>
      <c r="D1101" s="31"/>
      <c r="E1101" s="263" t="s">
        <v>241</v>
      </c>
      <c r="F1101" s="169">
        <f>SUM(F1082:F1099)</f>
        <v>911893.70920133335</v>
      </c>
    </row>
    <row r="1104" spans="1:7" ht="15" thickBot="1" x14ac:dyDescent="0.25"/>
    <row r="1105" spans="1:7" x14ac:dyDescent="0.2">
      <c r="A1105" s="16" t="s">
        <v>270</v>
      </c>
      <c r="B1105" s="33"/>
      <c r="C1105" s="34"/>
      <c r="D1105" s="17"/>
      <c r="E1105" s="257"/>
      <c r="F1105" s="164"/>
    </row>
    <row r="1106" spans="1:7" ht="25.5" x14ac:dyDescent="0.2">
      <c r="A1106" s="90" t="s">
        <v>406</v>
      </c>
      <c r="B1106" s="91"/>
      <c r="C1106" s="92"/>
      <c r="D1106" s="19" t="s">
        <v>233</v>
      </c>
      <c r="E1106" s="258" t="s">
        <v>2</v>
      </c>
      <c r="F1106" s="165"/>
    </row>
    <row r="1107" spans="1:7" ht="15" thickBot="1" x14ac:dyDescent="0.25">
      <c r="A1107" s="20"/>
      <c r="B1107" s="37"/>
      <c r="C1107" s="38"/>
      <c r="D1107" s="21"/>
      <c r="E1107" s="259"/>
      <c r="F1107" s="166"/>
    </row>
    <row r="1108" spans="1:7" ht="15" thickBot="1" x14ac:dyDescent="0.25">
      <c r="A1108" s="22" t="s">
        <v>234</v>
      </c>
      <c r="B1108" s="41" t="s">
        <v>235</v>
      </c>
      <c r="C1108" s="42" t="s">
        <v>236</v>
      </c>
      <c r="D1108" s="23" t="s">
        <v>237</v>
      </c>
      <c r="E1108" s="260" t="s">
        <v>67</v>
      </c>
      <c r="F1108" s="167" t="s">
        <v>238</v>
      </c>
    </row>
    <row r="1109" spans="1:7" ht="15.75" thickTop="1" x14ac:dyDescent="0.25">
      <c r="A1109" s="24" t="s">
        <v>239</v>
      </c>
      <c r="B1109" s="44"/>
      <c r="C1109" s="45"/>
      <c r="D1109" s="25"/>
      <c r="E1109" s="261"/>
      <c r="F1109" s="168"/>
    </row>
    <row r="1110" spans="1:7" ht="28.5" x14ac:dyDescent="0.2">
      <c r="A1110" s="27" t="s">
        <v>325</v>
      </c>
      <c r="B1110" s="44">
        <v>218000</v>
      </c>
      <c r="C1110" s="54">
        <v>1</v>
      </c>
      <c r="D1110" s="25" t="s">
        <v>138</v>
      </c>
      <c r="E1110" s="261">
        <v>0</v>
      </c>
      <c r="F1110" s="168">
        <f>+B1110*C1110*(1+E1110)</f>
        <v>218000</v>
      </c>
    </row>
    <row r="1111" spans="1:7" x14ac:dyDescent="0.2">
      <c r="A1111" s="27" t="s">
        <v>324</v>
      </c>
      <c r="B1111" s="44">
        <v>20119</v>
      </c>
      <c r="C1111" s="54">
        <v>0.01</v>
      </c>
      <c r="D1111" s="25" t="s">
        <v>103</v>
      </c>
      <c r="E1111" s="261">
        <v>0</v>
      </c>
      <c r="F1111" s="168">
        <f>+B1111*C1111*(1+E1111)</f>
        <v>201.19</v>
      </c>
    </row>
    <row r="1112" spans="1:7" ht="15" thickBot="1" x14ac:dyDescent="0.25">
      <c r="A1112" s="20"/>
      <c r="B1112" s="39"/>
      <c r="C1112" s="38"/>
      <c r="D1112" s="21"/>
      <c r="E1112" s="259"/>
      <c r="F1112" s="166"/>
      <c r="G1112" s="55">
        <f>SUM(F1110:F1111)</f>
        <v>218201.19</v>
      </c>
    </row>
    <row r="1113" spans="1:7" ht="15" x14ac:dyDescent="0.25">
      <c r="A1113" s="28" t="s">
        <v>240</v>
      </c>
      <c r="B1113" s="49"/>
      <c r="C1113" s="50"/>
      <c r="D1113" s="29"/>
      <c r="E1113" s="262"/>
      <c r="F1113" s="164"/>
    </row>
    <row r="1114" spans="1:7" x14ac:dyDescent="0.2">
      <c r="A1114" s="27" t="s">
        <v>158</v>
      </c>
      <c r="B1114" s="83">
        <v>10910.059500000001</v>
      </c>
      <c r="C1114" s="45">
        <v>1</v>
      </c>
      <c r="D1114" s="25" t="s">
        <v>101</v>
      </c>
      <c r="E1114" s="261">
        <v>0</v>
      </c>
      <c r="F1114" s="168">
        <f>+B1114*C1114*(1+E1114)</f>
        <v>10910.059500000001</v>
      </c>
    </row>
    <row r="1115" spans="1:7" x14ac:dyDescent="0.2">
      <c r="A1115" s="27"/>
      <c r="B1115" s="44"/>
      <c r="C1115" s="45"/>
      <c r="D1115" s="25"/>
      <c r="E1115" s="261"/>
      <c r="F1115" s="168"/>
    </row>
    <row r="1116" spans="1:7" ht="15" thickBot="1" x14ac:dyDescent="0.25">
      <c r="A1116" s="20"/>
      <c r="B1116" s="39"/>
      <c r="C1116" s="38"/>
      <c r="D1116" s="21"/>
      <c r="E1116" s="259"/>
      <c r="F1116" s="166"/>
    </row>
    <row r="1117" spans="1:7" ht="15" x14ac:dyDescent="0.25">
      <c r="A1117" s="28" t="s">
        <v>116</v>
      </c>
      <c r="B1117" s="49"/>
      <c r="C1117" s="50"/>
      <c r="D1117" s="29"/>
      <c r="E1117" s="262"/>
      <c r="F1117" s="164"/>
    </row>
    <row r="1118" spans="1:7" x14ac:dyDescent="0.2">
      <c r="A1118" s="27" t="s">
        <v>92</v>
      </c>
      <c r="B1118" s="83">
        <v>6546.0356999999995</v>
      </c>
      <c r="C1118" s="45">
        <v>1</v>
      </c>
      <c r="D1118" s="25" t="s">
        <v>85</v>
      </c>
      <c r="E1118" s="261">
        <v>0</v>
      </c>
      <c r="F1118" s="168">
        <f>+B1118*C1118*(1+E1118)</f>
        <v>6546.0356999999995</v>
      </c>
    </row>
    <row r="1119" spans="1:7" ht="15" thickBot="1" x14ac:dyDescent="0.25">
      <c r="A1119" s="20"/>
      <c r="B1119" s="39"/>
      <c r="C1119" s="38"/>
      <c r="D1119" s="21"/>
      <c r="E1119" s="259"/>
      <c r="F1119" s="166"/>
    </row>
    <row r="1120" spans="1:7" ht="15" x14ac:dyDescent="0.25">
      <c r="A1120" s="24" t="s">
        <v>70</v>
      </c>
      <c r="B1120" s="44"/>
      <c r="C1120" s="45"/>
      <c r="D1120" s="25"/>
      <c r="E1120" s="261"/>
      <c r="F1120" s="168"/>
    </row>
    <row r="1121" spans="1:7" x14ac:dyDescent="0.2">
      <c r="A1121" s="27" t="s">
        <v>70</v>
      </c>
      <c r="B1121" s="44">
        <v>11327.304895833335</v>
      </c>
      <c r="C1121" s="45">
        <v>0.2</v>
      </c>
      <c r="D1121" s="25" t="s">
        <v>102</v>
      </c>
      <c r="E1121" s="261">
        <v>0</v>
      </c>
      <c r="F1121" s="168">
        <f>+B1121*C1121*(1+E1121)</f>
        <v>2265.4609791666671</v>
      </c>
    </row>
    <row r="1122" spans="1:7" ht="15" thickBot="1" x14ac:dyDescent="0.25">
      <c r="A1122" s="27"/>
      <c r="B1122" s="44"/>
      <c r="C1122" s="45"/>
      <c r="D1122" s="25"/>
      <c r="E1122" s="261"/>
      <c r="F1122" s="168"/>
    </row>
    <row r="1123" spans="1:7" ht="15.75" thickBot="1" x14ac:dyDescent="0.3">
      <c r="A1123" s="30"/>
      <c r="B1123" s="52"/>
      <c r="C1123" s="53"/>
      <c r="D1123" s="31"/>
      <c r="E1123" s="263" t="s">
        <v>241</v>
      </c>
      <c r="F1123" s="169">
        <f>SUM(F1110:F1121)</f>
        <v>237922.74617916669</v>
      </c>
    </row>
    <row r="1125" spans="1:7" ht="15" thickBot="1" x14ac:dyDescent="0.25"/>
    <row r="1126" spans="1:7" x14ac:dyDescent="0.2">
      <c r="A1126" s="16" t="s">
        <v>270</v>
      </c>
      <c r="B1126" s="33"/>
      <c r="C1126" s="34"/>
      <c r="D1126" s="17"/>
      <c r="E1126" s="257"/>
      <c r="F1126" s="164"/>
    </row>
    <row r="1127" spans="1:7" ht="25.5" x14ac:dyDescent="0.2">
      <c r="A1127" s="90" t="s">
        <v>407</v>
      </c>
      <c r="B1127" s="91"/>
      <c r="C1127" s="92"/>
      <c r="D1127" s="19" t="s">
        <v>233</v>
      </c>
      <c r="E1127" s="258" t="s">
        <v>2</v>
      </c>
      <c r="F1127" s="165"/>
    </row>
    <row r="1128" spans="1:7" ht="15" thickBot="1" x14ac:dyDescent="0.25">
      <c r="A1128" s="20"/>
      <c r="B1128" s="37"/>
      <c r="C1128" s="38"/>
      <c r="D1128" s="21"/>
      <c r="E1128" s="259"/>
      <c r="F1128" s="166"/>
    </row>
    <row r="1129" spans="1:7" ht="15" thickBot="1" x14ac:dyDescent="0.25">
      <c r="A1129" s="22" t="s">
        <v>234</v>
      </c>
      <c r="B1129" s="41" t="s">
        <v>235</v>
      </c>
      <c r="C1129" s="42" t="s">
        <v>236</v>
      </c>
      <c r="D1129" s="23" t="s">
        <v>237</v>
      </c>
      <c r="E1129" s="260" t="s">
        <v>67</v>
      </c>
      <c r="F1129" s="167" t="s">
        <v>238</v>
      </c>
    </row>
    <row r="1130" spans="1:7" ht="15.75" thickTop="1" x14ac:dyDescent="0.25">
      <c r="A1130" s="24" t="s">
        <v>239</v>
      </c>
      <c r="B1130" s="44"/>
      <c r="C1130" s="45"/>
      <c r="D1130" s="25"/>
      <c r="E1130" s="261"/>
      <c r="F1130" s="168"/>
    </row>
    <row r="1131" spans="1:7" ht="28.5" x14ac:dyDescent="0.2">
      <c r="A1131" s="27" t="s">
        <v>326</v>
      </c>
      <c r="B1131" s="44">
        <v>52900</v>
      </c>
      <c r="C1131" s="54">
        <v>1</v>
      </c>
      <c r="D1131" s="25" t="s">
        <v>138</v>
      </c>
      <c r="E1131" s="261">
        <v>0</v>
      </c>
      <c r="F1131" s="168">
        <f>+B1131*C1131*(1+E1131)</f>
        <v>52900</v>
      </c>
    </row>
    <row r="1132" spans="1:7" x14ac:dyDescent="0.2">
      <c r="A1132" s="27" t="s">
        <v>324</v>
      </c>
      <c r="B1132" s="44">
        <v>20119</v>
      </c>
      <c r="C1132" s="54">
        <v>0.01</v>
      </c>
      <c r="D1132" s="25" t="s">
        <v>103</v>
      </c>
      <c r="E1132" s="261">
        <v>0</v>
      </c>
      <c r="F1132" s="168">
        <f>+B1132*C1132*(1+E1132)</f>
        <v>201.19</v>
      </c>
    </row>
    <row r="1133" spans="1:7" ht="15" thickBot="1" x14ac:dyDescent="0.25">
      <c r="A1133" s="20"/>
      <c r="B1133" s="39"/>
      <c r="C1133" s="38"/>
      <c r="D1133" s="21"/>
      <c r="E1133" s="259"/>
      <c r="F1133" s="166"/>
      <c r="G1133" s="55">
        <f>SUM(F1131:F1132)</f>
        <v>53101.19</v>
      </c>
    </row>
    <row r="1134" spans="1:7" ht="15" x14ac:dyDescent="0.25">
      <c r="A1134" s="28" t="s">
        <v>240</v>
      </c>
      <c r="B1134" s="49"/>
      <c r="C1134" s="50"/>
      <c r="D1134" s="29"/>
      <c r="E1134" s="262"/>
      <c r="F1134" s="164"/>
    </row>
    <row r="1135" spans="1:7" x14ac:dyDescent="0.2">
      <c r="A1135" s="27" t="s">
        <v>158</v>
      </c>
      <c r="B1135" s="83">
        <v>2655.0595000000003</v>
      </c>
      <c r="C1135" s="45">
        <v>1</v>
      </c>
      <c r="D1135" s="25" t="s">
        <v>101</v>
      </c>
      <c r="E1135" s="261">
        <v>0</v>
      </c>
      <c r="F1135" s="168">
        <f>+B1135*C1135*(1+E1135)</f>
        <v>2655.0595000000003</v>
      </c>
    </row>
    <row r="1136" spans="1:7" x14ac:dyDescent="0.2">
      <c r="A1136" s="27"/>
      <c r="B1136" s="44"/>
      <c r="C1136" s="45"/>
      <c r="D1136" s="25"/>
      <c r="E1136" s="261"/>
      <c r="F1136" s="168"/>
    </row>
    <row r="1137" spans="1:6" ht="15" thickBot="1" x14ac:dyDescent="0.25">
      <c r="A1137" s="20"/>
      <c r="B1137" s="39"/>
      <c r="C1137" s="38"/>
      <c r="D1137" s="21"/>
      <c r="E1137" s="259"/>
      <c r="F1137" s="166"/>
    </row>
    <row r="1138" spans="1:6" ht="15" x14ac:dyDescent="0.25">
      <c r="A1138" s="28" t="s">
        <v>116</v>
      </c>
      <c r="B1138" s="49"/>
      <c r="C1138" s="50"/>
      <c r="D1138" s="29"/>
      <c r="E1138" s="262"/>
      <c r="F1138" s="164"/>
    </row>
    <row r="1139" spans="1:6" x14ac:dyDescent="0.2">
      <c r="A1139" s="27" t="s">
        <v>92</v>
      </c>
      <c r="B1139" s="83">
        <v>1593.0356999999999</v>
      </c>
      <c r="C1139" s="45">
        <v>1</v>
      </c>
      <c r="D1139" s="25" t="s">
        <v>85</v>
      </c>
      <c r="E1139" s="261">
        <v>0</v>
      </c>
      <c r="F1139" s="168">
        <f>+B1139*C1139*(1+E1139)</f>
        <v>1593.0356999999999</v>
      </c>
    </row>
    <row r="1140" spans="1:6" ht="15" thickBot="1" x14ac:dyDescent="0.25">
      <c r="A1140" s="20"/>
      <c r="B1140" s="39"/>
      <c r="C1140" s="38"/>
      <c r="D1140" s="21"/>
      <c r="E1140" s="259"/>
      <c r="F1140" s="166"/>
    </row>
    <row r="1141" spans="1:6" ht="15" x14ac:dyDescent="0.25">
      <c r="A1141" s="24" t="s">
        <v>70</v>
      </c>
      <c r="B1141" s="44"/>
      <c r="C1141" s="45"/>
      <c r="D1141" s="25"/>
      <c r="E1141" s="261"/>
      <c r="F1141" s="168"/>
    </row>
    <row r="1142" spans="1:6" x14ac:dyDescent="0.2">
      <c r="A1142" s="27" t="s">
        <v>70</v>
      </c>
      <c r="B1142" s="44">
        <v>11327.304895833335</v>
      </c>
      <c r="C1142" s="45">
        <v>0.2</v>
      </c>
      <c r="D1142" s="25" t="s">
        <v>102</v>
      </c>
      <c r="E1142" s="261">
        <v>0</v>
      </c>
      <c r="F1142" s="168">
        <f>+B1142*C1142*(1+E1142)</f>
        <v>2265.4609791666671</v>
      </c>
    </row>
    <row r="1143" spans="1:6" ht="15" thickBot="1" x14ac:dyDescent="0.25">
      <c r="A1143" s="27"/>
      <c r="B1143" s="44"/>
      <c r="C1143" s="45"/>
      <c r="D1143" s="25"/>
      <c r="E1143" s="261"/>
      <c r="F1143" s="168"/>
    </row>
    <row r="1144" spans="1:6" ht="15.75" thickBot="1" x14ac:dyDescent="0.3">
      <c r="A1144" s="30"/>
      <c r="B1144" s="52"/>
      <c r="C1144" s="53"/>
      <c r="D1144" s="31"/>
      <c r="E1144" s="263" t="s">
        <v>241</v>
      </c>
      <c r="F1144" s="169">
        <f>SUM(F1131:F1142)</f>
        <v>59614.746179166672</v>
      </c>
    </row>
    <row r="1146" spans="1:6" ht="15" thickBot="1" x14ac:dyDescent="0.25"/>
    <row r="1147" spans="1:6" x14ac:dyDescent="0.2">
      <c r="A1147" s="16" t="s">
        <v>270</v>
      </c>
      <c r="B1147" s="33"/>
      <c r="C1147" s="34"/>
      <c r="D1147" s="17"/>
      <c r="E1147" s="257"/>
      <c r="F1147" s="164"/>
    </row>
    <row r="1148" spans="1:6" ht="38.25" x14ac:dyDescent="0.2">
      <c r="A1148" s="90" t="s">
        <v>408</v>
      </c>
      <c r="B1148" s="91"/>
      <c r="C1148" s="92"/>
      <c r="D1148" s="19" t="s">
        <v>233</v>
      </c>
      <c r="E1148" s="258" t="s">
        <v>2</v>
      </c>
      <c r="F1148" s="165"/>
    </row>
    <row r="1149" spans="1:6" ht="15" thickBot="1" x14ac:dyDescent="0.25">
      <c r="A1149" s="20"/>
      <c r="B1149" s="37"/>
      <c r="C1149" s="38"/>
      <c r="D1149" s="21"/>
      <c r="E1149" s="259"/>
      <c r="F1149" s="166"/>
    </row>
    <row r="1150" spans="1:6" ht="15" thickBot="1" x14ac:dyDescent="0.25">
      <c r="A1150" s="22" t="s">
        <v>234</v>
      </c>
      <c r="B1150" s="41" t="s">
        <v>235</v>
      </c>
      <c r="C1150" s="42" t="s">
        <v>236</v>
      </c>
      <c r="D1150" s="23" t="s">
        <v>237</v>
      </c>
      <c r="E1150" s="260" t="s">
        <v>67</v>
      </c>
      <c r="F1150" s="167" t="s">
        <v>238</v>
      </c>
    </row>
    <row r="1151" spans="1:6" ht="15.75" thickTop="1" x14ac:dyDescent="0.25">
      <c r="A1151" s="24" t="s">
        <v>239</v>
      </c>
      <c r="B1151" s="44"/>
      <c r="C1151" s="45"/>
      <c r="D1151" s="25"/>
      <c r="E1151" s="261"/>
      <c r="F1151" s="168"/>
    </row>
    <row r="1152" spans="1:6" ht="114" x14ac:dyDescent="0.2">
      <c r="A1152" s="27" t="s">
        <v>699</v>
      </c>
      <c r="B1152" s="44">
        <f>996800*1.19</f>
        <v>1186192</v>
      </c>
      <c r="C1152" s="54">
        <v>1</v>
      </c>
      <c r="D1152" s="25" t="s">
        <v>138</v>
      </c>
      <c r="E1152" s="261">
        <v>0</v>
      </c>
      <c r="F1152" s="168">
        <f>+B1152*C1152*(1+E1152)</f>
        <v>1186192</v>
      </c>
    </row>
    <row r="1153" spans="1:7" x14ac:dyDescent="0.2">
      <c r="A1153" s="27" t="s">
        <v>324</v>
      </c>
      <c r="B1153" s="44">
        <v>20119</v>
      </c>
      <c r="C1153" s="54">
        <v>0.01</v>
      </c>
      <c r="D1153" s="25" t="s">
        <v>103</v>
      </c>
      <c r="E1153" s="261">
        <v>0</v>
      </c>
      <c r="F1153" s="168">
        <f>+B1153*C1153*(1+E1153)</f>
        <v>201.19</v>
      </c>
    </row>
    <row r="1154" spans="1:7" ht="15" thickBot="1" x14ac:dyDescent="0.25">
      <c r="A1154" s="20"/>
      <c r="B1154" s="39"/>
      <c r="C1154" s="38"/>
      <c r="D1154" s="21"/>
      <c r="E1154" s="259"/>
      <c r="F1154" s="166"/>
      <c r="G1154" s="55">
        <f>SUM(F1152:F1153)</f>
        <v>1186393.19</v>
      </c>
    </row>
    <row r="1155" spans="1:7" ht="15" x14ac:dyDescent="0.25">
      <c r="A1155" s="28" t="s">
        <v>240</v>
      </c>
      <c r="B1155" s="49"/>
      <c r="C1155" s="50"/>
      <c r="D1155" s="29"/>
      <c r="E1155" s="262"/>
      <c r="F1155" s="164"/>
    </row>
    <row r="1156" spans="1:7" x14ac:dyDescent="0.2">
      <c r="A1156" s="27" t="s">
        <v>158</v>
      </c>
      <c r="B1156" s="83">
        <v>59319.659500000002</v>
      </c>
      <c r="C1156" s="45">
        <v>1</v>
      </c>
      <c r="D1156" s="25" t="s">
        <v>101</v>
      </c>
      <c r="E1156" s="261">
        <v>0</v>
      </c>
      <c r="F1156" s="168">
        <f>+B1156*C1156*(1+E1156)</f>
        <v>59319.659500000002</v>
      </c>
    </row>
    <row r="1157" spans="1:7" x14ac:dyDescent="0.2">
      <c r="A1157" s="27"/>
      <c r="B1157" s="44"/>
      <c r="C1157" s="45"/>
      <c r="D1157" s="25"/>
      <c r="E1157" s="261"/>
      <c r="F1157" s="168"/>
    </row>
    <row r="1158" spans="1:7" ht="15" thickBot="1" x14ac:dyDescent="0.25">
      <c r="A1158" s="20"/>
      <c r="B1158" s="39"/>
      <c r="C1158" s="38"/>
      <c r="D1158" s="21"/>
      <c r="E1158" s="259"/>
      <c r="F1158" s="166"/>
    </row>
    <row r="1159" spans="1:7" ht="15" x14ac:dyDescent="0.25">
      <c r="A1159" s="28" t="s">
        <v>116</v>
      </c>
      <c r="B1159" s="49"/>
      <c r="C1159" s="50"/>
      <c r="D1159" s="29"/>
      <c r="E1159" s="262"/>
      <c r="F1159" s="164"/>
    </row>
    <row r="1160" spans="1:7" x14ac:dyDescent="0.2">
      <c r="A1160" s="27" t="s">
        <v>92</v>
      </c>
      <c r="B1160" s="83">
        <v>35591.795699999995</v>
      </c>
      <c r="C1160" s="45">
        <v>1</v>
      </c>
      <c r="D1160" s="25" t="s">
        <v>85</v>
      </c>
      <c r="E1160" s="261">
        <v>0</v>
      </c>
      <c r="F1160" s="168">
        <f>+B1160*C1160*(1+E1160)</f>
        <v>35591.795699999995</v>
      </c>
    </row>
    <row r="1161" spans="1:7" ht="15" thickBot="1" x14ac:dyDescent="0.25">
      <c r="A1161" s="20"/>
      <c r="B1161" s="39"/>
      <c r="C1161" s="38"/>
      <c r="D1161" s="21"/>
      <c r="E1161" s="259"/>
      <c r="F1161" s="166"/>
    </row>
    <row r="1162" spans="1:7" ht="15" x14ac:dyDescent="0.25">
      <c r="A1162" s="24" t="s">
        <v>70</v>
      </c>
      <c r="B1162" s="44"/>
      <c r="C1162" s="45"/>
      <c r="D1162" s="25"/>
      <c r="E1162" s="261"/>
      <c r="F1162" s="168"/>
    </row>
    <row r="1163" spans="1:7" x14ac:dyDescent="0.2">
      <c r="A1163" s="27" t="s">
        <v>70</v>
      </c>
      <c r="B1163" s="44">
        <v>11327.304895833335</v>
      </c>
      <c r="C1163" s="45">
        <v>1.6</v>
      </c>
      <c r="D1163" s="25" t="s">
        <v>102</v>
      </c>
      <c r="E1163" s="261">
        <v>0</v>
      </c>
      <c r="F1163" s="168">
        <f>+B1163*C1163*(1+E1163)</f>
        <v>18123.687833333337</v>
      </c>
    </row>
    <row r="1164" spans="1:7" ht="15" thickBot="1" x14ac:dyDescent="0.25">
      <c r="A1164" s="27"/>
      <c r="B1164" s="44"/>
      <c r="C1164" s="45"/>
      <c r="D1164" s="25"/>
      <c r="E1164" s="261"/>
      <c r="F1164" s="168"/>
    </row>
    <row r="1165" spans="1:7" ht="15.75" thickBot="1" x14ac:dyDescent="0.3">
      <c r="A1165" s="30"/>
      <c r="B1165" s="52"/>
      <c r="C1165" s="53"/>
      <c r="D1165" s="31"/>
      <c r="E1165" s="263" t="s">
        <v>241</v>
      </c>
      <c r="F1165" s="169">
        <f>SUM(F1152:F1163)</f>
        <v>1299428.3330333333</v>
      </c>
    </row>
    <row r="1168" spans="1:7" ht="15" thickBot="1" x14ac:dyDescent="0.25"/>
    <row r="1169" spans="1:7" x14ac:dyDescent="0.2">
      <c r="A1169" s="16" t="s">
        <v>270</v>
      </c>
      <c r="B1169" s="33"/>
      <c r="C1169" s="34"/>
      <c r="D1169" s="17"/>
      <c r="E1169" s="257"/>
      <c r="F1169" s="164"/>
    </row>
    <row r="1170" spans="1:7" ht="25.5" x14ac:dyDescent="0.2">
      <c r="A1170" s="90" t="s">
        <v>409</v>
      </c>
      <c r="B1170" s="91"/>
      <c r="C1170" s="92"/>
      <c r="D1170" s="19" t="s">
        <v>233</v>
      </c>
      <c r="E1170" s="258" t="s">
        <v>80</v>
      </c>
      <c r="F1170" s="165"/>
    </row>
    <row r="1171" spans="1:7" ht="15" thickBot="1" x14ac:dyDescent="0.25">
      <c r="A1171" s="20"/>
      <c r="B1171" s="37"/>
      <c r="C1171" s="38"/>
      <c r="D1171" s="21"/>
      <c r="E1171" s="259"/>
      <c r="F1171" s="166"/>
    </row>
    <row r="1172" spans="1:7" ht="15" thickBot="1" x14ac:dyDescent="0.25">
      <c r="A1172" s="22" t="s">
        <v>234</v>
      </c>
      <c r="B1172" s="41" t="s">
        <v>235</v>
      </c>
      <c r="C1172" s="42" t="s">
        <v>236</v>
      </c>
      <c r="D1172" s="23" t="s">
        <v>237</v>
      </c>
      <c r="E1172" s="260" t="s">
        <v>67</v>
      </c>
      <c r="F1172" s="167" t="s">
        <v>238</v>
      </c>
    </row>
    <row r="1173" spans="1:7" ht="15.75" thickTop="1" x14ac:dyDescent="0.25">
      <c r="A1173" s="24" t="s">
        <v>239</v>
      </c>
      <c r="B1173" s="44"/>
      <c r="C1173" s="45"/>
      <c r="D1173" s="25"/>
      <c r="E1173" s="261"/>
      <c r="F1173" s="168"/>
    </row>
    <row r="1174" spans="1:7" x14ac:dyDescent="0.2">
      <c r="A1174" s="27" t="s">
        <v>137</v>
      </c>
      <c r="B1174" s="44">
        <f>(20094*1.19)/6</f>
        <v>3985.31</v>
      </c>
      <c r="C1174" s="54">
        <v>1</v>
      </c>
      <c r="D1174" s="25" t="s">
        <v>82</v>
      </c>
      <c r="E1174" s="261">
        <v>0.03</v>
      </c>
      <c r="F1174" s="168">
        <f t="shared" ref="F1174:F1179" si="20">+B1174*C1174*(1+E1174)</f>
        <v>4104.8693000000003</v>
      </c>
    </row>
    <row r="1175" spans="1:7" x14ac:dyDescent="0.2">
      <c r="A1175" s="27" t="s">
        <v>122</v>
      </c>
      <c r="B1175" s="44">
        <v>38000</v>
      </c>
      <c r="C1175" s="54">
        <v>1.66E-2</v>
      </c>
      <c r="D1175" s="25" t="s">
        <v>103</v>
      </c>
      <c r="E1175" s="261">
        <v>0.03</v>
      </c>
      <c r="F1175" s="168">
        <f>C1175*B1175</f>
        <v>630.79999999999995</v>
      </c>
    </row>
    <row r="1176" spans="1:7" x14ac:dyDescent="0.2">
      <c r="A1176" s="27" t="s">
        <v>123</v>
      </c>
      <c r="B1176" s="44">
        <v>62900</v>
      </c>
      <c r="C1176" s="54">
        <v>1.66E-2</v>
      </c>
      <c r="D1176" s="25" t="s">
        <v>103</v>
      </c>
      <c r="E1176" s="261">
        <v>0.03</v>
      </c>
      <c r="F1176" s="168">
        <f>C1176*B1176</f>
        <v>1044.1400000000001</v>
      </c>
    </row>
    <row r="1177" spans="1:7" x14ac:dyDescent="0.2">
      <c r="A1177" s="27" t="s">
        <v>127</v>
      </c>
      <c r="B1177" s="44">
        <f>413*1.19</f>
        <v>491.46999999999997</v>
      </c>
      <c r="C1177" s="54">
        <v>0.19450000000000001</v>
      </c>
      <c r="D1177" s="25" t="s">
        <v>90</v>
      </c>
      <c r="E1177" s="261">
        <v>0</v>
      </c>
      <c r="F1177" s="168">
        <f t="shared" si="20"/>
        <v>95.590914999999995</v>
      </c>
    </row>
    <row r="1178" spans="1:7" x14ac:dyDescent="0.2">
      <c r="A1178" s="27" t="s">
        <v>128</v>
      </c>
      <c r="B1178" s="44">
        <v>1650</v>
      </c>
      <c r="C1178" s="54">
        <v>0.06</v>
      </c>
      <c r="D1178" s="25" t="s">
        <v>90</v>
      </c>
      <c r="E1178" s="261">
        <v>0</v>
      </c>
      <c r="F1178" s="168">
        <f t="shared" si="20"/>
        <v>99</v>
      </c>
    </row>
    <row r="1179" spans="1:7" x14ac:dyDescent="0.2">
      <c r="A1179" s="27" t="s">
        <v>129</v>
      </c>
      <c r="B1179" s="44">
        <f>655*1.19</f>
        <v>779.44999999999993</v>
      </c>
      <c r="C1179" s="54">
        <v>0.05</v>
      </c>
      <c r="D1179" s="25" t="s">
        <v>90</v>
      </c>
      <c r="E1179" s="261">
        <v>0</v>
      </c>
      <c r="F1179" s="168">
        <f t="shared" si="20"/>
        <v>38.972499999999997</v>
      </c>
    </row>
    <row r="1180" spans="1:7" ht="15" thickBot="1" x14ac:dyDescent="0.25">
      <c r="A1180" s="20"/>
      <c r="B1180" s="39"/>
      <c r="C1180" s="38"/>
      <c r="D1180" s="21"/>
      <c r="E1180" s="259"/>
      <c r="F1180" s="166"/>
      <c r="G1180" s="55">
        <f>SUM(F1174:F1179)</f>
        <v>6013.3727150000004</v>
      </c>
    </row>
    <row r="1181" spans="1:7" ht="15" x14ac:dyDescent="0.25">
      <c r="A1181" s="28" t="s">
        <v>240</v>
      </c>
      <c r="B1181" s="49"/>
      <c r="C1181" s="50"/>
      <c r="D1181" s="29"/>
      <c r="E1181" s="262"/>
      <c r="F1181" s="164"/>
    </row>
    <row r="1182" spans="1:7" x14ac:dyDescent="0.2">
      <c r="A1182" s="27" t="s">
        <v>158</v>
      </c>
      <c r="B1182" s="83">
        <v>300.66863575000002</v>
      </c>
      <c r="C1182" s="45">
        <v>1</v>
      </c>
      <c r="D1182" s="25" t="s">
        <v>101</v>
      </c>
      <c r="E1182" s="261">
        <v>0</v>
      </c>
      <c r="F1182" s="168">
        <f>+B1182*C1182*(1+E1182)</f>
        <v>300.66863575000002</v>
      </c>
    </row>
    <row r="1183" spans="1:7" x14ac:dyDescent="0.2">
      <c r="A1183" s="27"/>
      <c r="B1183" s="44"/>
      <c r="C1183" s="45"/>
      <c r="D1183" s="25"/>
      <c r="E1183" s="261"/>
      <c r="F1183" s="168"/>
    </row>
    <row r="1184" spans="1:7" ht="15" thickBot="1" x14ac:dyDescent="0.25">
      <c r="A1184" s="20"/>
      <c r="B1184" s="39"/>
      <c r="C1184" s="38"/>
      <c r="D1184" s="21"/>
      <c r="E1184" s="259"/>
      <c r="F1184" s="166"/>
    </row>
    <row r="1185" spans="1:6" ht="15" x14ac:dyDescent="0.25">
      <c r="A1185" s="28" t="s">
        <v>116</v>
      </c>
      <c r="B1185" s="49"/>
      <c r="C1185" s="50"/>
      <c r="D1185" s="29"/>
      <c r="E1185" s="262"/>
      <c r="F1185" s="164"/>
    </row>
    <row r="1186" spans="1:6" x14ac:dyDescent="0.2">
      <c r="A1186" s="27" t="s">
        <v>92</v>
      </c>
      <c r="B1186" s="83">
        <v>180.40118145</v>
      </c>
      <c r="C1186" s="45">
        <v>1</v>
      </c>
      <c r="D1186" s="25" t="s">
        <v>85</v>
      </c>
      <c r="E1186" s="261">
        <v>0</v>
      </c>
      <c r="F1186" s="168">
        <f>+B1186*C1186*(1+E1186)</f>
        <v>180.40118145</v>
      </c>
    </row>
    <row r="1187" spans="1:6" ht="15" thickBot="1" x14ac:dyDescent="0.25">
      <c r="A1187" s="20"/>
      <c r="B1187" s="39"/>
      <c r="C1187" s="38"/>
      <c r="D1187" s="21"/>
      <c r="E1187" s="259"/>
      <c r="F1187" s="166"/>
    </row>
    <row r="1188" spans="1:6" ht="15" x14ac:dyDescent="0.25">
      <c r="A1188" s="24" t="s">
        <v>70</v>
      </c>
      <c r="B1188" s="44"/>
      <c r="C1188" s="45"/>
      <c r="D1188" s="25"/>
      <c r="E1188" s="261"/>
      <c r="F1188" s="168"/>
    </row>
    <row r="1189" spans="1:6" x14ac:dyDescent="0.2">
      <c r="A1189" s="27" t="s">
        <v>70</v>
      </c>
      <c r="B1189" s="44">
        <v>11327.304895833335</v>
      </c>
      <c r="C1189" s="45">
        <v>0.85</v>
      </c>
      <c r="D1189" s="25" t="s">
        <v>102</v>
      </c>
      <c r="E1189" s="261">
        <v>0</v>
      </c>
      <c r="F1189" s="168">
        <f>+B1189*C1189*(1+E1189)</f>
        <v>9628.2091614583351</v>
      </c>
    </row>
    <row r="1190" spans="1:6" ht="15" thickBot="1" x14ac:dyDescent="0.25">
      <c r="A1190" s="27"/>
      <c r="B1190" s="44"/>
      <c r="C1190" s="45"/>
      <c r="D1190" s="25"/>
      <c r="E1190" s="261"/>
      <c r="F1190" s="168"/>
    </row>
    <row r="1191" spans="1:6" ht="15.75" thickBot="1" x14ac:dyDescent="0.3">
      <c r="A1191" s="30"/>
      <c r="B1191" s="52"/>
      <c r="C1191" s="53"/>
      <c r="D1191" s="31"/>
      <c r="E1191" s="263" t="s">
        <v>241</v>
      </c>
      <c r="F1191" s="169">
        <f>SUM(F1174:F1189)</f>
        <v>16122.651693658336</v>
      </c>
    </row>
    <row r="1193" spans="1:6" ht="15" thickBot="1" x14ac:dyDescent="0.25"/>
    <row r="1194" spans="1:6" x14ac:dyDescent="0.2">
      <c r="A1194" s="16" t="s">
        <v>270</v>
      </c>
      <c r="B1194" s="33"/>
      <c r="C1194" s="34"/>
      <c r="D1194" s="17"/>
      <c r="E1194" s="257"/>
      <c r="F1194" s="164"/>
    </row>
    <row r="1195" spans="1:6" ht="25.5" x14ac:dyDescent="0.2">
      <c r="A1195" s="90" t="s">
        <v>410</v>
      </c>
      <c r="B1195" s="91"/>
      <c r="C1195" s="92"/>
      <c r="D1195" s="19" t="s">
        <v>233</v>
      </c>
      <c r="E1195" s="258" t="s">
        <v>80</v>
      </c>
      <c r="F1195" s="165"/>
    </row>
    <row r="1196" spans="1:6" ht="15" thickBot="1" x14ac:dyDescent="0.25">
      <c r="A1196" s="20"/>
      <c r="B1196" s="37"/>
      <c r="C1196" s="38"/>
      <c r="D1196" s="21"/>
      <c r="E1196" s="259"/>
      <c r="F1196" s="166"/>
    </row>
    <row r="1197" spans="1:6" ht="15" thickBot="1" x14ac:dyDescent="0.25">
      <c r="A1197" s="22" t="s">
        <v>234</v>
      </c>
      <c r="B1197" s="41" t="s">
        <v>235</v>
      </c>
      <c r="C1197" s="42" t="s">
        <v>236</v>
      </c>
      <c r="D1197" s="23" t="s">
        <v>237</v>
      </c>
      <c r="E1197" s="260" t="s">
        <v>67</v>
      </c>
      <c r="F1197" s="167" t="s">
        <v>238</v>
      </c>
    </row>
    <row r="1198" spans="1:6" ht="15.75" thickTop="1" x14ac:dyDescent="0.25">
      <c r="A1198" s="24" t="s">
        <v>239</v>
      </c>
      <c r="B1198" s="44"/>
      <c r="C1198" s="45"/>
      <c r="D1198" s="25"/>
      <c r="E1198" s="261"/>
      <c r="F1198" s="168"/>
    </row>
    <row r="1199" spans="1:6" x14ac:dyDescent="0.2">
      <c r="A1199" s="27" t="s">
        <v>206</v>
      </c>
      <c r="B1199" s="44">
        <f>(33726*1.19)/6</f>
        <v>6688.9899999999989</v>
      </c>
      <c r="C1199" s="54">
        <v>1</v>
      </c>
      <c r="D1199" s="25" t="s">
        <v>82</v>
      </c>
      <c r="E1199" s="261">
        <v>0.03</v>
      </c>
      <c r="F1199" s="168">
        <f t="shared" ref="F1199:F1204" si="21">+B1199*C1199*(1+E1199)</f>
        <v>6889.6596999999992</v>
      </c>
    </row>
    <row r="1200" spans="1:6" x14ac:dyDescent="0.2">
      <c r="A1200" s="27" t="s">
        <v>122</v>
      </c>
      <c r="B1200" s="44">
        <v>38000</v>
      </c>
      <c r="C1200" s="54">
        <v>1.6666666666666666E-2</v>
      </c>
      <c r="D1200" s="25" t="s">
        <v>103</v>
      </c>
      <c r="E1200" s="261">
        <v>0.03</v>
      </c>
      <c r="F1200" s="168">
        <f t="shared" si="21"/>
        <v>652.33333333333337</v>
      </c>
    </row>
    <row r="1201" spans="1:7" x14ac:dyDescent="0.2">
      <c r="A1201" s="27" t="s">
        <v>123</v>
      </c>
      <c r="B1201" s="44">
        <v>62900</v>
      </c>
      <c r="C1201" s="54">
        <v>1.6666666666666666E-2</v>
      </c>
      <c r="D1201" s="25" t="s">
        <v>103</v>
      </c>
      <c r="E1201" s="261">
        <v>0.03</v>
      </c>
      <c r="F1201" s="168">
        <f t="shared" si="21"/>
        <v>1079.7833333333333</v>
      </c>
    </row>
    <row r="1202" spans="1:7" x14ac:dyDescent="0.2">
      <c r="A1202" s="27" t="s">
        <v>207</v>
      </c>
      <c r="B1202" s="44">
        <f>1237*1.19</f>
        <v>1472.03</v>
      </c>
      <c r="C1202" s="54">
        <v>0.19450000000000001</v>
      </c>
      <c r="D1202" s="25" t="s">
        <v>90</v>
      </c>
      <c r="E1202" s="261">
        <v>0</v>
      </c>
      <c r="F1202" s="168">
        <f t="shared" si="21"/>
        <v>286.30983500000002</v>
      </c>
    </row>
    <row r="1203" spans="1:7" x14ac:dyDescent="0.2">
      <c r="A1203" s="27" t="s">
        <v>208</v>
      </c>
      <c r="B1203" s="44">
        <f>4601*1.19</f>
        <v>5475.19</v>
      </c>
      <c r="C1203" s="54">
        <v>0.06</v>
      </c>
      <c r="D1203" s="25" t="s">
        <v>90</v>
      </c>
      <c r="E1203" s="261">
        <v>0</v>
      </c>
      <c r="F1203" s="168">
        <f t="shared" si="21"/>
        <v>328.51139999999998</v>
      </c>
    </row>
    <row r="1204" spans="1:7" x14ac:dyDescent="0.2">
      <c r="A1204" s="27" t="s">
        <v>209</v>
      </c>
      <c r="B1204" s="44">
        <f>2460*1.19</f>
        <v>2927.4</v>
      </c>
      <c r="C1204" s="54">
        <v>0.05</v>
      </c>
      <c r="D1204" s="25" t="s">
        <v>90</v>
      </c>
      <c r="E1204" s="261">
        <v>0</v>
      </c>
      <c r="F1204" s="168">
        <f t="shared" si="21"/>
        <v>146.37</v>
      </c>
    </row>
    <row r="1205" spans="1:7" ht="15" thickBot="1" x14ac:dyDescent="0.25">
      <c r="A1205" s="20"/>
      <c r="B1205" s="39"/>
      <c r="C1205" s="38"/>
      <c r="D1205" s="21"/>
      <c r="E1205" s="259"/>
      <c r="F1205" s="166"/>
      <c r="G1205" s="55">
        <f>SUM(F1199:F1204)</f>
        <v>9382.9676016666654</v>
      </c>
    </row>
    <row r="1206" spans="1:7" ht="15" x14ac:dyDescent="0.25">
      <c r="A1206" s="28" t="s">
        <v>240</v>
      </c>
      <c r="B1206" s="49"/>
      <c r="C1206" s="50"/>
      <c r="D1206" s="29"/>
      <c r="E1206" s="262"/>
      <c r="F1206" s="164"/>
    </row>
    <row r="1207" spans="1:7" x14ac:dyDescent="0.2">
      <c r="A1207" s="27" t="s">
        <v>158</v>
      </c>
      <c r="B1207" s="83">
        <v>469.14838008333328</v>
      </c>
      <c r="C1207" s="45">
        <v>1</v>
      </c>
      <c r="D1207" s="25" t="s">
        <v>82</v>
      </c>
      <c r="E1207" s="261">
        <v>0</v>
      </c>
      <c r="F1207" s="168">
        <f>+B1207*C1207*(1+E1207)</f>
        <v>469.14838008333328</v>
      </c>
    </row>
    <row r="1208" spans="1:7" x14ac:dyDescent="0.2">
      <c r="A1208" s="27"/>
      <c r="B1208" s="44"/>
      <c r="C1208" s="45"/>
      <c r="D1208" s="25"/>
      <c r="E1208" s="261"/>
      <c r="F1208" s="168"/>
    </row>
    <row r="1209" spans="1:7" ht="15" thickBot="1" x14ac:dyDescent="0.25">
      <c r="A1209" s="20"/>
      <c r="B1209" s="39"/>
      <c r="C1209" s="38"/>
      <c r="D1209" s="21"/>
      <c r="E1209" s="259"/>
      <c r="F1209" s="166"/>
    </row>
    <row r="1210" spans="1:7" ht="15" x14ac:dyDescent="0.25">
      <c r="A1210" s="28" t="s">
        <v>116</v>
      </c>
      <c r="B1210" s="49"/>
      <c r="C1210" s="50"/>
      <c r="D1210" s="29"/>
      <c r="E1210" s="262"/>
      <c r="F1210" s="164"/>
    </row>
    <row r="1211" spans="1:7" x14ac:dyDescent="0.2">
      <c r="A1211" s="27" t="s">
        <v>92</v>
      </c>
      <c r="B1211" s="83">
        <v>281.48902804999994</v>
      </c>
      <c r="C1211" s="45">
        <v>1</v>
      </c>
      <c r="D1211" s="25" t="s">
        <v>82</v>
      </c>
      <c r="E1211" s="261">
        <v>0</v>
      </c>
      <c r="F1211" s="168">
        <f>+B1211*C1211*(1+E1211)</f>
        <v>281.48902804999994</v>
      </c>
    </row>
    <row r="1212" spans="1:7" ht="15" thickBot="1" x14ac:dyDescent="0.25">
      <c r="A1212" s="20"/>
      <c r="B1212" s="39"/>
      <c r="C1212" s="38"/>
      <c r="D1212" s="21"/>
      <c r="E1212" s="259"/>
      <c r="F1212" s="166"/>
    </row>
    <row r="1213" spans="1:7" ht="15" x14ac:dyDescent="0.25">
      <c r="A1213" s="24" t="s">
        <v>70</v>
      </c>
      <c r="B1213" s="44"/>
      <c r="C1213" s="45"/>
      <c r="D1213" s="25"/>
      <c r="E1213" s="261"/>
      <c r="F1213" s="168"/>
    </row>
    <row r="1214" spans="1:7" x14ac:dyDescent="0.2">
      <c r="A1214" s="27" t="s">
        <v>70</v>
      </c>
      <c r="B1214" s="44">
        <v>11327.304895833335</v>
      </c>
      <c r="C1214" s="45">
        <v>1.6</v>
      </c>
      <c r="D1214" s="25" t="s">
        <v>81</v>
      </c>
      <c r="E1214" s="261">
        <v>0</v>
      </c>
      <c r="F1214" s="168">
        <f>+B1214*C1214*(1+E1214)</f>
        <v>18123.687833333337</v>
      </c>
    </row>
    <row r="1215" spans="1:7" ht="15" thickBot="1" x14ac:dyDescent="0.25">
      <c r="A1215" s="27"/>
      <c r="B1215" s="44"/>
      <c r="C1215" s="45"/>
      <c r="D1215" s="25"/>
      <c r="E1215" s="261"/>
      <c r="F1215" s="168"/>
    </row>
    <row r="1216" spans="1:7" ht="15.75" thickBot="1" x14ac:dyDescent="0.3">
      <c r="A1216" s="30"/>
      <c r="B1216" s="52"/>
      <c r="C1216" s="53"/>
      <c r="D1216" s="31"/>
      <c r="E1216" s="263" t="s">
        <v>241</v>
      </c>
      <c r="F1216" s="169">
        <f>SUM(F1199:F1214)</f>
        <v>28257.292843133335</v>
      </c>
    </row>
    <row r="1218" spans="1:7" ht="15" thickBot="1" x14ac:dyDescent="0.25"/>
    <row r="1219" spans="1:7" x14ac:dyDescent="0.2">
      <c r="A1219" s="16" t="s">
        <v>270</v>
      </c>
      <c r="B1219" s="33"/>
      <c r="C1219" s="34"/>
      <c r="D1219" s="17"/>
      <c r="E1219" s="257"/>
      <c r="F1219" s="164"/>
    </row>
    <row r="1220" spans="1:7" ht="25.5" x14ac:dyDescent="0.2">
      <c r="A1220" s="90" t="s">
        <v>411</v>
      </c>
      <c r="B1220" s="91"/>
      <c r="C1220" s="92"/>
      <c r="D1220" s="19" t="s">
        <v>233</v>
      </c>
      <c r="E1220" s="258" t="s">
        <v>80</v>
      </c>
      <c r="F1220" s="165"/>
    </row>
    <row r="1221" spans="1:7" ht="15" thickBot="1" x14ac:dyDescent="0.25">
      <c r="A1221" s="20"/>
      <c r="B1221" s="37"/>
      <c r="C1221" s="38"/>
      <c r="D1221" s="21"/>
      <c r="E1221" s="259"/>
      <c r="F1221" s="166"/>
    </row>
    <row r="1222" spans="1:7" ht="15" thickBot="1" x14ac:dyDescent="0.25">
      <c r="A1222" s="22" t="s">
        <v>234</v>
      </c>
      <c r="B1222" s="41" t="s">
        <v>235</v>
      </c>
      <c r="C1222" s="42" t="s">
        <v>236</v>
      </c>
      <c r="D1222" s="23" t="s">
        <v>237</v>
      </c>
      <c r="E1222" s="260" t="s">
        <v>67</v>
      </c>
      <c r="F1222" s="167" t="s">
        <v>238</v>
      </c>
    </row>
    <row r="1223" spans="1:7" ht="15.75" thickTop="1" x14ac:dyDescent="0.25">
      <c r="A1223" s="24" t="s">
        <v>239</v>
      </c>
      <c r="B1223" s="44"/>
      <c r="C1223" s="45"/>
      <c r="D1223" s="25"/>
      <c r="E1223" s="261"/>
      <c r="F1223" s="168"/>
    </row>
    <row r="1224" spans="1:7" x14ac:dyDescent="0.2">
      <c r="A1224" s="27" t="s">
        <v>130</v>
      </c>
      <c r="B1224" s="44">
        <f>((44037*1.19)/6)*1.2</f>
        <v>10480.805999999999</v>
      </c>
      <c r="C1224" s="54">
        <v>1</v>
      </c>
      <c r="D1224" s="25" t="s">
        <v>82</v>
      </c>
      <c r="E1224" s="261">
        <v>0.03</v>
      </c>
      <c r="F1224" s="168">
        <f t="shared" ref="F1224:F1229" si="22">+B1224*C1224*(1+E1224)</f>
        <v>10795.230179999999</v>
      </c>
    </row>
    <row r="1225" spans="1:7" x14ac:dyDescent="0.2">
      <c r="A1225" s="27" t="s">
        <v>122</v>
      </c>
      <c r="B1225" s="44">
        <v>38000</v>
      </c>
      <c r="C1225" s="54">
        <v>1.7857142857142856E-2</v>
      </c>
      <c r="D1225" s="25" t="s">
        <v>103</v>
      </c>
      <c r="E1225" s="261">
        <v>0.03</v>
      </c>
      <c r="F1225" s="168">
        <f t="shared" si="22"/>
        <v>698.92857142857144</v>
      </c>
    </row>
    <row r="1226" spans="1:7" x14ac:dyDescent="0.2">
      <c r="A1226" s="27" t="s">
        <v>123</v>
      </c>
      <c r="B1226" s="44">
        <v>62900</v>
      </c>
      <c r="C1226" s="54">
        <v>1.7857142857142856E-2</v>
      </c>
      <c r="D1226" s="25" t="s">
        <v>103</v>
      </c>
      <c r="E1226" s="261">
        <v>0.03</v>
      </c>
      <c r="F1226" s="168">
        <f t="shared" si="22"/>
        <v>1156.9107142857142</v>
      </c>
    </row>
    <row r="1227" spans="1:7" x14ac:dyDescent="0.2">
      <c r="A1227" s="27" t="s">
        <v>131</v>
      </c>
      <c r="B1227" s="44">
        <f>1690*1.19</f>
        <v>2011.1</v>
      </c>
      <c r="C1227" s="54">
        <v>0.16500000000000001</v>
      </c>
      <c r="D1227" s="25" t="s">
        <v>90</v>
      </c>
      <c r="E1227" s="261">
        <v>0</v>
      </c>
      <c r="F1227" s="168">
        <f t="shared" si="22"/>
        <v>331.83150000000001</v>
      </c>
    </row>
    <row r="1228" spans="1:7" x14ac:dyDescent="0.2">
      <c r="A1228" s="27" t="s">
        <v>132</v>
      </c>
      <c r="B1228" s="44">
        <f>6040*1.19</f>
        <v>7187.5999999999995</v>
      </c>
      <c r="C1228" s="54">
        <v>0.1658</v>
      </c>
      <c r="D1228" s="25" t="s">
        <v>90</v>
      </c>
      <c r="E1228" s="261">
        <v>0</v>
      </c>
      <c r="F1228" s="168">
        <f t="shared" si="22"/>
        <v>1191.70408</v>
      </c>
    </row>
    <row r="1229" spans="1:7" x14ac:dyDescent="0.2">
      <c r="A1229" s="27" t="s">
        <v>133</v>
      </c>
      <c r="B1229" s="44">
        <f>4593*1.19</f>
        <v>5465.67</v>
      </c>
      <c r="C1229" s="54">
        <v>6.6299999999999998E-2</v>
      </c>
      <c r="D1229" s="25" t="s">
        <v>90</v>
      </c>
      <c r="E1229" s="261">
        <v>0</v>
      </c>
      <c r="F1229" s="168">
        <f t="shared" si="22"/>
        <v>362.373921</v>
      </c>
    </row>
    <row r="1230" spans="1:7" ht="15" thickBot="1" x14ac:dyDescent="0.25">
      <c r="A1230" s="20"/>
      <c r="B1230" s="39"/>
      <c r="C1230" s="38"/>
      <c r="D1230" s="21"/>
      <c r="E1230" s="259"/>
      <c r="F1230" s="166"/>
      <c r="G1230" s="55">
        <f>SUM(F1224:F1229)</f>
        <v>14536.978966714283</v>
      </c>
    </row>
    <row r="1231" spans="1:7" ht="15" x14ac:dyDescent="0.25">
      <c r="A1231" s="28" t="s">
        <v>240</v>
      </c>
      <c r="B1231" s="49"/>
      <c r="C1231" s="50"/>
      <c r="D1231" s="29"/>
      <c r="E1231" s="262"/>
      <c r="F1231" s="164"/>
    </row>
    <row r="1232" spans="1:7" x14ac:dyDescent="0.2">
      <c r="A1232" s="27" t="s">
        <v>158</v>
      </c>
      <c r="B1232" s="83">
        <v>636.8886968357142</v>
      </c>
      <c r="C1232" s="45">
        <v>1</v>
      </c>
      <c r="D1232" s="25" t="s">
        <v>82</v>
      </c>
      <c r="E1232" s="261">
        <v>0</v>
      </c>
      <c r="F1232" s="168">
        <f>+B1232*C1232*(1+E1232)</f>
        <v>636.8886968357142</v>
      </c>
    </row>
    <row r="1233" spans="1:6" x14ac:dyDescent="0.2">
      <c r="A1233" s="27"/>
      <c r="B1233" s="44"/>
      <c r="C1233" s="45"/>
      <c r="D1233" s="25"/>
      <c r="E1233" s="261"/>
      <c r="F1233" s="168"/>
    </row>
    <row r="1234" spans="1:6" ht="15" thickBot="1" x14ac:dyDescent="0.25">
      <c r="A1234" s="20"/>
      <c r="B1234" s="39"/>
      <c r="C1234" s="38"/>
      <c r="D1234" s="21"/>
      <c r="E1234" s="259"/>
      <c r="F1234" s="166"/>
    </row>
    <row r="1235" spans="1:6" ht="15" x14ac:dyDescent="0.25">
      <c r="A1235" s="28" t="s">
        <v>116</v>
      </c>
      <c r="B1235" s="49"/>
      <c r="C1235" s="50"/>
      <c r="D1235" s="29"/>
      <c r="E1235" s="262"/>
      <c r="F1235" s="164"/>
    </row>
    <row r="1236" spans="1:6" x14ac:dyDescent="0.2">
      <c r="A1236" s="27" t="s">
        <v>92</v>
      </c>
      <c r="B1236" s="83">
        <v>382.1332181014285</v>
      </c>
      <c r="C1236" s="45">
        <v>1</v>
      </c>
      <c r="D1236" s="25" t="s">
        <v>82</v>
      </c>
      <c r="E1236" s="261">
        <v>0</v>
      </c>
      <c r="F1236" s="168">
        <f>+B1236*C1236*(1+E1236)</f>
        <v>382.1332181014285</v>
      </c>
    </row>
    <row r="1237" spans="1:6" ht="15" thickBot="1" x14ac:dyDescent="0.25">
      <c r="A1237" s="20"/>
      <c r="B1237" s="39"/>
      <c r="C1237" s="38"/>
      <c r="D1237" s="21"/>
      <c r="E1237" s="259"/>
      <c r="F1237" s="166"/>
    </row>
    <row r="1238" spans="1:6" ht="15" x14ac:dyDescent="0.25">
      <c r="A1238" s="24" t="s">
        <v>70</v>
      </c>
      <c r="B1238" s="44"/>
      <c r="C1238" s="45"/>
      <c r="D1238" s="25"/>
      <c r="E1238" s="261"/>
      <c r="F1238" s="168"/>
    </row>
    <row r="1239" spans="1:6" x14ac:dyDescent="0.2">
      <c r="A1239" s="27" t="s">
        <v>70</v>
      </c>
      <c r="B1239" s="44">
        <v>11327.304895833335</v>
      </c>
      <c r="C1239" s="45">
        <f>1.3*1.2</f>
        <v>1.56</v>
      </c>
      <c r="D1239" s="25" t="s">
        <v>81</v>
      </c>
      <c r="E1239" s="261">
        <v>0</v>
      </c>
      <c r="F1239" s="168">
        <f>+B1239*C1239*(1+E1239)</f>
        <v>17670.595637500002</v>
      </c>
    </row>
    <row r="1240" spans="1:6" ht="15" thickBot="1" x14ac:dyDescent="0.25">
      <c r="A1240" s="27"/>
      <c r="B1240" s="44"/>
      <c r="C1240" s="45"/>
      <c r="D1240" s="25"/>
      <c r="E1240" s="261"/>
      <c r="F1240" s="168"/>
    </row>
    <row r="1241" spans="1:6" ht="15.75" thickBot="1" x14ac:dyDescent="0.3">
      <c r="A1241" s="30"/>
      <c r="B1241" s="52"/>
      <c r="C1241" s="53"/>
      <c r="D1241" s="31"/>
      <c r="E1241" s="263" t="s">
        <v>241</v>
      </c>
      <c r="F1241" s="169">
        <f>SUM(F1224:F1239)</f>
        <v>33226.596519151426</v>
      </c>
    </row>
    <row r="1243" spans="1:6" ht="15" thickBot="1" x14ac:dyDescent="0.25"/>
    <row r="1244" spans="1:6" x14ac:dyDescent="0.2">
      <c r="A1244" s="16" t="s">
        <v>270</v>
      </c>
      <c r="B1244" s="33"/>
      <c r="C1244" s="34"/>
      <c r="D1244" s="17"/>
      <c r="E1244" s="257"/>
      <c r="F1244" s="164"/>
    </row>
    <row r="1245" spans="1:6" ht="25.5" x14ac:dyDescent="0.2">
      <c r="A1245" s="90" t="s">
        <v>412</v>
      </c>
      <c r="B1245" s="91"/>
      <c r="C1245" s="92"/>
      <c r="D1245" s="91" t="s">
        <v>233</v>
      </c>
      <c r="E1245" s="258" t="s">
        <v>33</v>
      </c>
      <c r="F1245" s="165"/>
    </row>
    <row r="1246" spans="1:6" ht="15" thickBot="1" x14ac:dyDescent="0.25">
      <c r="A1246" s="20"/>
      <c r="B1246" s="37"/>
      <c r="C1246" s="38"/>
      <c r="D1246" s="21"/>
      <c r="E1246" s="259"/>
      <c r="F1246" s="166"/>
    </row>
    <row r="1247" spans="1:6" ht="15" thickBot="1" x14ac:dyDescent="0.25">
      <c r="A1247" s="22" t="s">
        <v>234</v>
      </c>
      <c r="B1247" s="41" t="s">
        <v>235</v>
      </c>
      <c r="C1247" s="42" t="s">
        <v>236</v>
      </c>
      <c r="D1247" s="23" t="s">
        <v>237</v>
      </c>
      <c r="E1247" s="260" t="s">
        <v>67</v>
      </c>
      <c r="F1247" s="167" t="s">
        <v>238</v>
      </c>
    </row>
    <row r="1248" spans="1:6" ht="15.75" thickTop="1" x14ac:dyDescent="0.25">
      <c r="A1248" s="24" t="s">
        <v>239</v>
      </c>
      <c r="B1248" s="44"/>
      <c r="C1248" s="45"/>
      <c r="D1248" s="25"/>
      <c r="E1248" s="261"/>
      <c r="F1248" s="168"/>
    </row>
    <row r="1249" spans="1:7" x14ac:dyDescent="0.2">
      <c r="A1249" s="27" t="s">
        <v>384</v>
      </c>
      <c r="B1249" s="85">
        <v>50219</v>
      </c>
      <c r="C1249" s="80">
        <f>2.6*2.6+2.6*2.6+2.6*2+2.6*2+2.6*2</f>
        <v>29.12</v>
      </c>
      <c r="D1249" s="25" t="s">
        <v>381</v>
      </c>
      <c r="E1249" s="261">
        <v>0.05</v>
      </c>
      <c r="F1249" s="168">
        <f t="shared" ref="F1249:F1254" si="23">+B1249*C1249*(1+E1249)</f>
        <v>1535496.1440000001</v>
      </c>
    </row>
    <row r="1250" spans="1:7" x14ac:dyDescent="0.2">
      <c r="A1250" s="27" t="s">
        <v>97</v>
      </c>
      <c r="B1250" s="85">
        <v>308448.95</v>
      </c>
      <c r="C1250" s="80">
        <v>0.78</v>
      </c>
      <c r="D1250" s="25" t="s">
        <v>285</v>
      </c>
      <c r="E1250" s="261">
        <v>0.05</v>
      </c>
      <c r="F1250" s="168">
        <f t="shared" si="23"/>
        <v>252619.69005000003</v>
      </c>
    </row>
    <row r="1251" spans="1:7" x14ac:dyDescent="0.2">
      <c r="A1251" s="27" t="s">
        <v>385</v>
      </c>
      <c r="B1251" s="86">
        <v>55800</v>
      </c>
      <c r="C1251" s="80">
        <v>3</v>
      </c>
      <c r="D1251" s="25" t="s">
        <v>389</v>
      </c>
      <c r="E1251" s="261">
        <v>0.05</v>
      </c>
      <c r="F1251" s="168">
        <f t="shared" si="23"/>
        <v>175770</v>
      </c>
    </row>
    <row r="1252" spans="1:7" ht="28.5" x14ac:dyDescent="0.2">
      <c r="A1252" s="27" t="s">
        <v>386</v>
      </c>
      <c r="B1252" s="85">
        <v>65000</v>
      </c>
      <c r="C1252" s="80">
        <v>1</v>
      </c>
      <c r="D1252" s="25" t="s">
        <v>285</v>
      </c>
      <c r="E1252" s="261">
        <v>0</v>
      </c>
      <c r="F1252" s="168">
        <f t="shared" si="23"/>
        <v>65000</v>
      </c>
    </row>
    <row r="1253" spans="1:7" x14ac:dyDescent="0.2">
      <c r="A1253" s="27" t="s">
        <v>387</v>
      </c>
      <c r="B1253" s="85">
        <v>2800</v>
      </c>
      <c r="C1253" s="80">
        <f>58.8*3</f>
        <v>176.39999999999998</v>
      </c>
      <c r="D1253" s="25" t="s">
        <v>390</v>
      </c>
      <c r="E1253" s="261">
        <v>0</v>
      </c>
      <c r="F1253" s="168">
        <f t="shared" si="23"/>
        <v>493919.99999999994</v>
      </c>
    </row>
    <row r="1254" spans="1:7" x14ac:dyDescent="0.2">
      <c r="A1254" s="27" t="s">
        <v>388</v>
      </c>
      <c r="B1254" s="85">
        <v>13977</v>
      </c>
      <c r="C1254" s="80">
        <f>2.6*2.6+2.6*2.6+2.6*2+2.6*2</f>
        <v>23.92</v>
      </c>
      <c r="D1254" s="25" t="s">
        <v>381</v>
      </c>
      <c r="E1254" s="261">
        <v>0</v>
      </c>
      <c r="F1254" s="168">
        <f t="shared" si="23"/>
        <v>334329.84000000003</v>
      </c>
    </row>
    <row r="1255" spans="1:7" ht="15" thickBot="1" x14ac:dyDescent="0.25">
      <c r="A1255" s="20"/>
      <c r="B1255" s="39"/>
      <c r="C1255" s="38"/>
      <c r="D1255" s="21"/>
      <c r="E1255" s="259"/>
      <c r="F1255" s="166"/>
      <c r="G1255" s="55">
        <f>SUM(F1249:F1254)</f>
        <v>2857135.67405</v>
      </c>
    </row>
    <row r="1256" spans="1:7" ht="15" x14ac:dyDescent="0.25">
      <c r="A1256" s="28" t="s">
        <v>240</v>
      </c>
      <c r="B1256" s="49"/>
      <c r="C1256" s="50"/>
      <c r="D1256" s="29"/>
      <c r="E1256" s="262"/>
      <c r="F1256" s="164"/>
    </row>
    <row r="1257" spans="1:7" x14ac:dyDescent="0.2">
      <c r="A1257" s="27" t="s">
        <v>158</v>
      </c>
      <c r="B1257" s="83">
        <v>98040.983702500002</v>
      </c>
      <c r="C1257" s="45">
        <v>1</v>
      </c>
      <c r="D1257" s="25" t="s">
        <v>101</v>
      </c>
      <c r="E1257" s="261">
        <v>0</v>
      </c>
      <c r="F1257" s="168">
        <f>+B1257*C1257*(1+E1257)</f>
        <v>98040.983702500002</v>
      </c>
    </row>
    <row r="1258" spans="1:7" x14ac:dyDescent="0.2">
      <c r="A1258" s="27"/>
      <c r="B1258" s="44"/>
      <c r="C1258" s="45"/>
      <c r="D1258" s="25"/>
      <c r="E1258" s="261"/>
      <c r="F1258" s="168"/>
    </row>
    <row r="1259" spans="1:7" ht="15" thickBot="1" x14ac:dyDescent="0.25">
      <c r="A1259" s="20"/>
      <c r="B1259" s="39"/>
      <c r="C1259" s="38"/>
      <c r="D1259" s="21"/>
      <c r="E1259" s="259"/>
      <c r="F1259" s="166"/>
    </row>
    <row r="1260" spans="1:7" ht="15" x14ac:dyDescent="0.25">
      <c r="A1260" s="28" t="s">
        <v>116</v>
      </c>
      <c r="B1260" s="49"/>
      <c r="C1260" s="50"/>
      <c r="D1260" s="29"/>
      <c r="E1260" s="262"/>
      <c r="F1260" s="164"/>
    </row>
    <row r="1261" spans="1:7" x14ac:dyDescent="0.2">
      <c r="A1261" s="27" t="s">
        <v>92</v>
      </c>
      <c r="B1261" s="83">
        <v>93024.590221499995</v>
      </c>
      <c r="C1261" s="45">
        <v>1</v>
      </c>
      <c r="D1261" s="25" t="s">
        <v>285</v>
      </c>
      <c r="E1261" s="261">
        <v>0</v>
      </c>
      <c r="F1261" s="168">
        <f>+B1261*C1261*(1+E1261)</f>
        <v>93024.590221499995</v>
      </c>
    </row>
    <row r="1262" spans="1:7" ht="15" thickBot="1" x14ac:dyDescent="0.25">
      <c r="A1262" s="20"/>
      <c r="B1262" s="39"/>
      <c r="C1262" s="38"/>
      <c r="D1262" s="21"/>
      <c r="E1262" s="259"/>
      <c r="F1262" s="166"/>
    </row>
    <row r="1263" spans="1:7" ht="15" x14ac:dyDescent="0.25">
      <c r="A1263" s="24" t="s">
        <v>70</v>
      </c>
      <c r="B1263" s="44"/>
      <c r="C1263" s="45"/>
      <c r="D1263" s="25"/>
      <c r="E1263" s="261"/>
      <c r="F1263" s="168"/>
    </row>
    <row r="1264" spans="1:7" x14ac:dyDescent="0.2">
      <c r="A1264" s="27" t="s">
        <v>70</v>
      </c>
      <c r="B1264" s="44">
        <v>11327.304895833335</v>
      </c>
      <c r="C1264" s="45">
        <v>4.5</v>
      </c>
      <c r="D1264" s="25" t="s">
        <v>880</v>
      </c>
      <c r="E1264" s="261">
        <v>0</v>
      </c>
      <c r="F1264" s="168">
        <f>C1264*B1264</f>
        <v>50972.872031250008</v>
      </c>
    </row>
    <row r="1265" spans="1:7" ht="15" thickBot="1" x14ac:dyDescent="0.25">
      <c r="A1265" s="27"/>
      <c r="B1265" s="44"/>
      <c r="C1265" s="45"/>
      <c r="D1265" s="25"/>
      <c r="E1265" s="261"/>
      <c r="F1265" s="168"/>
    </row>
    <row r="1266" spans="1:7" ht="15.75" thickBot="1" x14ac:dyDescent="0.3">
      <c r="A1266" s="30"/>
      <c r="B1266" s="52"/>
      <c r="C1266" s="53"/>
      <c r="D1266" s="31"/>
      <c r="E1266" s="263" t="s">
        <v>241</v>
      </c>
      <c r="F1266" s="169">
        <f>SUM(F1249:F1264)</f>
        <v>3099174.12000525</v>
      </c>
    </row>
    <row r="1267" spans="1:7" ht="15" x14ac:dyDescent="0.25">
      <c r="A1267" s="26"/>
      <c r="B1267" s="44"/>
      <c r="C1267" s="45"/>
      <c r="D1267" s="25"/>
      <c r="E1267" s="271"/>
      <c r="F1267" s="176"/>
    </row>
    <row r="1268" spans="1:7" ht="15" x14ac:dyDescent="0.25">
      <c r="A1268" s="26"/>
      <c r="B1268" s="44"/>
      <c r="C1268" s="45"/>
      <c r="D1268" s="25"/>
      <c r="E1268" s="271"/>
      <c r="F1268" s="176"/>
    </row>
    <row r="1269" spans="1:7" ht="15.75" thickBot="1" x14ac:dyDescent="0.3">
      <c r="A1269" s="26"/>
      <c r="B1269" s="44"/>
      <c r="C1269" s="45"/>
      <c r="D1269" s="25"/>
      <c r="E1269" s="271"/>
      <c r="F1269" s="176"/>
    </row>
    <row r="1270" spans="1:7" x14ac:dyDescent="0.2">
      <c r="A1270" s="16" t="s">
        <v>270</v>
      </c>
      <c r="B1270" s="33"/>
      <c r="C1270" s="34"/>
      <c r="D1270" s="17"/>
      <c r="E1270" s="257"/>
      <c r="F1270" s="164"/>
    </row>
    <row r="1271" spans="1:7" ht="25.5" x14ac:dyDescent="0.2">
      <c r="A1271" s="90" t="s">
        <v>413</v>
      </c>
      <c r="B1271" s="91"/>
      <c r="C1271" s="92"/>
      <c r="D1271" s="91" t="s">
        <v>233</v>
      </c>
      <c r="E1271" s="258" t="s">
        <v>33</v>
      </c>
      <c r="F1271" s="165"/>
    </row>
    <row r="1272" spans="1:7" ht="15" thickBot="1" x14ac:dyDescent="0.25">
      <c r="A1272" s="20"/>
      <c r="B1272" s="37"/>
      <c r="C1272" s="38"/>
      <c r="D1272" s="21"/>
      <c r="E1272" s="259"/>
      <c r="F1272" s="166"/>
    </row>
    <row r="1273" spans="1:7" ht="15" thickBot="1" x14ac:dyDescent="0.25">
      <c r="A1273" s="22" t="s">
        <v>234</v>
      </c>
      <c r="B1273" s="41" t="s">
        <v>235</v>
      </c>
      <c r="C1273" s="42" t="s">
        <v>236</v>
      </c>
      <c r="D1273" s="23" t="s">
        <v>237</v>
      </c>
      <c r="E1273" s="260" t="s">
        <v>67</v>
      </c>
      <c r="F1273" s="167" t="s">
        <v>238</v>
      </c>
    </row>
    <row r="1274" spans="1:7" ht="15.75" thickTop="1" x14ac:dyDescent="0.25">
      <c r="A1274" s="24" t="s">
        <v>239</v>
      </c>
      <c r="B1274" s="44"/>
      <c r="C1274" s="45"/>
      <c r="D1274" s="25"/>
      <c r="E1274" s="261"/>
      <c r="F1274" s="168"/>
    </row>
    <row r="1275" spans="1:7" ht="28.5" x14ac:dyDescent="0.2">
      <c r="A1275" s="27" t="s">
        <v>393</v>
      </c>
      <c r="B1275" s="85">
        <v>2330000</v>
      </c>
      <c r="C1275" s="80">
        <v>1</v>
      </c>
      <c r="D1275" s="25" t="s">
        <v>285</v>
      </c>
      <c r="E1275" s="261">
        <v>0</v>
      </c>
      <c r="F1275" s="168">
        <f>+B1275*C1275*(1+E1275)</f>
        <v>2330000</v>
      </c>
    </row>
    <row r="1276" spans="1:7" x14ac:dyDescent="0.2">
      <c r="A1276" s="27" t="s">
        <v>394</v>
      </c>
      <c r="B1276" s="85">
        <v>39500</v>
      </c>
      <c r="C1276" s="80">
        <v>0.3</v>
      </c>
      <c r="D1276" s="25" t="s">
        <v>287</v>
      </c>
      <c r="E1276" s="261">
        <v>0.05</v>
      </c>
      <c r="F1276" s="168">
        <f>+B1276*C1276*(1+E1276)</f>
        <v>12442.5</v>
      </c>
    </row>
    <row r="1277" spans="1:7" ht="15" thickBot="1" x14ac:dyDescent="0.25">
      <c r="A1277" s="20"/>
      <c r="B1277" s="39"/>
      <c r="C1277" s="38"/>
      <c r="D1277" s="21"/>
      <c r="E1277" s="259"/>
      <c r="F1277" s="166"/>
      <c r="G1277" s="55">
        <f>SUM(F1275:F1276)</f>
        <v>2342442.5</v>
      </c>
    </row>
    <row r="1278" spans="1:7" ht="15" x14ac:dyDescent="0.25">
      <c r="A1278" s="28" t="s">
        <v>240</v>
      </c>
      <c r="B1278" s="49"/>
      <c r="C1278" s="50"/>
      <c r="D1278" s="29"/>
      <c r="E1278" s="262"/>
      <c r="F1278" s="164"/>
    </row>
    <row r="1279" spans="1:7" x14ac:dyDescent="0.2">
      <c r="A1279" s="27" t="s">
        <v>158</v>
      </c>
      <c r="B1279" s="83">
        <v>117122.125</v>
      </c>
      <c r="C1279" s="45">
        <v>1</v>
      </c>
      <c r="D1279" s="25" t="s">
        <v>101</v>
      </c>
      <c r="E1279" s="261">
        <v>0</v>
      </c>
      <c r="F1279" s="168">
        <f>+B1279*C1279*(1+E1279)</f>
        <v>117122.125</v>
      </c>
    </row>
    <row r="1280" spans="1:7" x14ac:dyDescent="0.2">
      <c r="A1280" s="27"/>
      <c r="B1280" s="44"/>
      <c r="C1280" s="45"/>
      <c r="D1280" s="25"/>
      <c r="E1280" s="261"/>
      <c r="F1280" s="168"/>
    </row>
    <row r="1281" spans="1:6" ht="15" thickBot="1" x14ac:dyDescent="0.25">
      <c r="A1281" s="20"/>
      <c r="B1281" s="39"/>
      <c r="C1281" s="38"/>
      <c r="D1281" s="21"/>
      <c r="E1281" s="259"/>
      <c r="F1281" s="166"/>
    </row>
    <row r="1282" spans="1:6" ht="15" x14ac:dyDescent="0.25">
      <c r="A1282" s="28" t="s">
        <v>116</v>
      </c>
      <c r="B1282" s="49"/>
      <c r="C1282" s="50"/>
      <c r="D1282" s="29"/>
      <c r="E1282" s="262"/>
      <c r="F1282" s="164"/>
    </row>
    <row r="1283" spans="1:6" x14ac:dyDescent="0.2">
      <c r="A1283" s="27" t="s">
        <v>92</v>
      </c>
      <c r="B1283" s="83">
        <v>70273.274999999994</v>
      </c>
      <c r="C1283" s="45">
        <v>1</v>
      </c>
      <c r="D1283" s="25" t="s">
        <v>101</v>
      </c>
      <c r="E1283" s="261">
        <v>0</v>
      </c>
      <c r="F1283" s="168">
        <f>+B1283*C1283*(1+E1283)</f>
        <v>70273.274999999994</v>
      </c>
    </row>
    <row r="1284" spans="1:6" ht="15" thickBot="1" x14ac:dyDescent="0.25">
      <c r="A1284" s="20"/>
      <c r="B1284" s="39"/>
      <c r="C1284" s="38"/>
      <c r="D1284" s="21"/>
      <c r="E1284" s="259"/>
      <c r="F1284" s="166"/>
    </row>
    <row r="1285" spans="1:6" ht="15" x14ac:dyDescent="0.25">
      <c r="A1285" s="24" t="s">
        <v>70</v>
      </c>
      <c r="B1285" s="44"/>
      <c r="C1285" s="45"/>
      <c r="D1285" s="25"/>
      <c r="E1285" s="261"/>
      <c r="F1285" s="168"/>
    </row>
    <row r="1286" spans="1:6" x14ac:dyDescent="0.2">
      <c r="A1286" s="27" t="s">
        <v>70</v>
      </c>
      <c r="B1286" s="44">
        <v>11327.304895833335</v>
      </c>
      <c r="C1286" s="45">
        <v>8</v>
      </c>
      <c r="D1286" s="25" t="s">
        <v>102</v>
      </c>
      <c r="E1286" s="261">
        <v>0</v>
      </c>
      <c r="F1286" s="168">
        <f>+B1286*C1286*(1+E1286)</f>
        <v>90618.439166666678</v>
      </c>
    </row>
    <row r="1287" spans="1:6" ht="15" thickBot="1" x14ac:dyDescent="0.25">
      <c r="A1287" s="27"/>
      <c r="B1287" s="44"/>
      <c r="C1287" s="45"/>
      <c r="D1287" s="25"/>
      <c r="E1287" s="261"/>
      <c r="F1287" s="168"/>
    </row>
    <row r="1288" spans="1:6" ht="15.75" thickBot="1" x14ac:dyDescent="0.3">
      <c r="A1288" s="30"/>
      <c r="B1288" s="52"/>
      <c r="C1288" s="53"/>
      <c r="D1288" s="31"/>
      <c r="E1288" s="263" t="s">
        <v>241</v>
      </c>
      <c r="F1288" s="169">
        <f>SUM(F1275:F1286)</f>
        <v>2620456.3391666664</v>
      </c>
    </row>
    <row r="1289" spans="1:6" ht="15" x14ac:dyDescent="0.25">
      <c r="A1289" s="26"/>
      <c r="B1289" s="44"/>
      <c r="C1289" s="45"/>
      <c r="D1289" s="25"/>
      <c r="E1289" s="271"/>
      <c r="F1289" s="176"/>
    </row>
    <row r="1290" spans="1:6" ht="15" x14ac:dyDescent="0.25">
      <c r="A1290" s="26"/>
      <c r="B1290" s="44"/>
      <c r="C1290" s="45"/>
      <c r="D1290" s="25"/>
      <c r="E1290" s="271"/>
      <c r="F1290" s="176"/>
    </row>
    <row r="1291" spans="1:6" ht="15.75" thickBot="1" x14ac:dyDescent="0.3">
      <c r="A1291" s="26"/>
      <c r="B1291" s="44"/>
      <c r="C1291" s="45"/>
      <c r="D1291" s="25"/>
      <c r="E1291" s="271"/>
      <c r="F1291" s="176"/>
    </row>
    <row r="1292" spans="1:6" x14ac:dyDescent="0.2">
      <c r="A1292" s="16" t="s">
        <v>270</v>
      </c>
      <c r="B1292" s="33"/>
      <c r="C1292" s="34"/>
      <c r="D1292" s="17"/>
      <c r="E1292" s="257"/>
      <c r="F1292" s="164"/>
    </row>
    <row r="1293" spans="1:6" ht="25.5" x14ac:dyDescent="0.2">
      <c r="A1293" s="90" t="s">
        <v>414</v>
      </c>
      <c r="B1293" s="91"/>
      <c r="C1293" s="92"/>
      <c r="D1293" s="19" t="s">
        <v>233</v>
      </c>
      <c r="E1293" s="258" t="s">
        <v>2</v>
      </c>
      <c r="F1293" s="165"/>
    </row>
    <row r="1294" spans="1:6" ht="15" thickBot="1" x14ac:dyDescent="0.25">
      <c r="A1294" s="20"/>
      <c r="B1294" s="37"/>
      <c r="C1294" s="38"/>
      <c r="D1294" s="21"/>
      <c r="E1294" s="259"/>
      <c r="F1294" s="166"/>
    </row>
    <row r="1295" spans="1:6" ht="15" thickBot="1" x14ac:dyDescent="0.25">
      <c r="A1295" s="22" t="s">
        <v>234</v>
      </c>
      <c r="B1295" s="41" t="s">
        <v>235</v>
      </c>
      <c r="C1295" s="42" t="s">
        <v>236</v>
      </c>
      <c r="D1295" s="23" t="s">
        <v>237</v>
      </c>
      <c r="E1295" s="260" t="s">
        <v>67</v>
      </c>
      <c r="F1295" s="167" t="s">
        <v>238</v>
      </c>
    </row>
    <row r="1296" spans="1:6" ht="15.75" thickTop="1" x14ac:dyDescent="0.25">
      <c r="A1296" s="24" t="s">
        <v>239</v>
      </c>
      <c r="B1296" s="44"/>
      <c r="C1296" s="45"/>
      <c r="D1296" s="25"/>
      <c r="E1296" s="261"/>
      <c r="F1296" s="168"/>
    </row>
    <row r="1297" spans="1:7" x14ac:dyDescent="0.2">
      <c r="A1297" s="27" t="s">
        <v>151</v>
      </c>
      <c r="B1297" s="44">
        <v>61578.815020000002</v>
      </c>
      <c r="C1297" s="54">
        <f>1.8*0.6+1.8*0.6+0.7*0.6+0.7*0.6</f>
        <v>3</v>
      </c>
      <c r="D1297" s="25" t="s">
        <v>109</v>
      </c>
      <c r="E1297" s="261">
        <v>0.03</v>
      </c>
      <c r="F1297" s="168">
        <f>+B1297*C1297*(1+E1297)</f>
        <v>190278.53841179999</v>
      </c>
    </row>
    <row r="1298" spans="1:7" x14ac:dyDescent="0.2">
      <c r="A1298" s="27" t="s">
        <v>152</v>
      </c>
      <c r="B1298" s="44">
        <v>14117.31625</v>
      </c>
      <c r="C1298" s="54">
        <f>1.8*0.6+1.8*0.6+0.7*0.6+0.7*0.6</f>
        <v>3</v>
      </c>
      <c r="D1298" s="25" t="s">
        <v>109</v>
      </c>
      <c r="E1298" s="261">
        <v>0</v>
      </c>
      <c r="F1298" s="168">
        <f>+B1298*C1298*(1+E1298)</f>
        <v>42351.948749999996</v>
      </c>
    </row>
    <row r="1299" spans="1:7" x14ac:dyDescent="0.2">
      <c r="A1299" s="27" t="s">
        <v>153</v>
      </c>
      <c r="B1299" s="44">
        <v>22768.005250000002</v>
      </c>
      <c r="C1299" s="54">
        <f>1.8*0.7</f>
        <v>1.26</v>
      </c>
      <c r="D1299" s="25" t="s">
        <v>109</v>
      </c>
      <c r="E1299" s="261">
        <v>0</v>
      </c>
      <c r="F1299" s="168">
        <f>+B1299*C1299*(1+E1299)</f>
        <v>28687.686615000002</v>
      </c>
    </row>
    <row r="1300" spans="1:7" ht="15" thickBot="1" x14ac:dyDescent="0.25">
      <c r="A1300" s="20"/>
      <c r="B1300" s="39"/>
      <c r="C1300" s="38"/>
      <c r="D1300" s="21"/>
      <c r="E1300" s="259"/>
      <c r="F1300" s="166"/>
      <c r="G1300" s="15">
        <f>SUM(F1297:F1299)</f>
        <v>261318.17377679999</v>
      </c>
    </row>
    <row r="1301" spans="1:7" ht="15" x14ac:dyDescent="0.25">
      <c r="A1301" s="28" t="s">
        <v>240</v>
      </c>
      <c r="B1301" s="49"/>
      <c r="C1301" s="50"/>
      <c r="D1301" s="29"/>
      <c r="E1301" s="262"/>
      <c r="F1301" s="164"/>
    </row>
    <row r="1302" spans="1:7" x14ac:dyDescent="0.2">
      <c r="A1302" s="27" t="s">
        <v>158</v>
      </c>
      <c r="B1302" s="44">
        <v>13065.90868884</v>
      </c>
      <c r="C1302" s="45">
        <v>1</v>
      </c>
      <c r="D1302" s="25" t="s">
        <v>101</v>
      </c>
      <c r="E1302" s="261">
        <v>0</v>
      </c>
      <c r="F1302" s="168">
        <f>+B1302*C1302*(1+E1302)</f>
        <v>13065.90868884</v>
      </c>
    </row>
    <row r="1303" spans="1:7" x14ac:dyDescent="0.2">
      <c r="A1303" s="27"/>
      <c r="B1303" s="44"/>
      <c r="C1303" s="45"/>
      <c r="D1303" s="25"/>
      <c r="E1303" s="261"/>
      <c r="F1303" s="168"/>
    </row>
    <row r="1304" spans="1:7" ht="15" thickBot="1" x14ac:dyDescent="0.25">
      <c r="A1304" s="20"/>
      <c r="B1304" s="39"/>
      <c r="C1304" s="38"/>
      <c r="D1304" s="21"/>
      <c r="E1304" s="259"/>
      <c r="F1304" s="166"/>
    </row>
    <row r="1305" spans="1:7" ht="15" x14ac:dyDescent="0.25">
      <c r="A1305" s="28" t="s">
        <v>116</v>
      </c>
      <c r="B1305" s="49"/>
      <c r="C1305" s="50"/>
      <c r="D1305" s="29"/>
      <c r="E1305" s="262"/>
      <c r="F1305" s="164"/>
    </row>
    <row r="1306" spans="1:7" x14ac:dyDescent="0.2">
      <c r="A1306" s="27" t="s">
        <v>92</v>
      </c>
      <c r="B1306" s="44">
        <v>7839.5452133039989</v>
      </c>
      <c r="C1306" s="45">
        <v>1</v>
      </c>
      <c r="D1306" s="25" t="s">
        <v>85</v>
      </c>
      <c r="E1306" s="261">
        <v>0</v>
      </c>
      <c r="F1306" s="168">
        <f>+B1306*C1306*(1+E1306)</f>
        <v>7839.5452133039989</v>
      </c>
    </row>
    <row r="1307" spans="1:7" ht="15" thickBot="1" x14ac:dyDescent="0.25">
      <c r="A1307" s="20"/>
      <c r="B1307" s="39"/>
      <c r="C1307" s="38"/>
      <c r="D1307" s="21"/>
      <c r="E1307" s="259"/>
      <c r="F1307" s="166"/>
    </row>
    <row r="1308" spans="1:7" ht="15" x14ac:dyDescent="0.25">
      <c r="A1308" s="24" t="s">
        <v>70</v>
      </c>
      <c r="B1308" s="44"/>
      <c r="C1308" s="45"/>
      <c r="D1308" s="25"/>
      <c r="E1308" s="261"/>
      <c r="F1308" s="168"/>
    </row>
    <row r="1309" spans="1:7" x14ac:dyDescent="0.2">
      <c r="A1309" s="27" t="s">
        <v>70</v>
      </c>
      <c r="B1309" s="44">
        <v>11327.304895833335</v>
      </c>
      <c r="C1309" s="45">
        <v>4</v>
      </c>
      <c r="D1309" s="25" t="s">
        <v>102</v>
      </c>
      <c r="E1309" s="261">
        <v>0</v>
      </c>
      <c r="F1309" s="168">
        <f>+B1309*C1309*(1+E1309)</f>
        <v>45309.219583333339</v>
      </c>
    </row>
    <row r="1310" spans="1:7" ht="15" thickBot="1" x14ac:dyDescent="0.25">
      <c r="A1310" s="27"/>
      <c r="B1310" s="44"/>
      <c r="C1310" s="45"/>
      <c r="D1310" s="25"/>
      <c r="E1310" s="261"/>
      <c r="F1310" s="168"/>
    </row>
    <row r="1311" spans="1:7" ht="15.75" thickBot="1" x14ac:dyDescent="0.3">
      <c r="A1311" s="30"/>
      <c r="B1311" s="52"/>
      <c r="C1311" s="53"/>
      <c r="D1311" s="31"/>
      <c r="E1311" s="263" t="s">
        <v>241</v>
      </c>
      <c r="F1311" s="169">
        <f>SUM(F1297:F1309)</f>
        <v>327532.84726227733</v>
      </c>
    </row>
    <row r="1312" spans="1:7" ht="15" x14ac:dyDescent="0.25">
      <c r="A1312" s="26"/>
      <c r="B1312" s="44"/>
      <c r="C1312" s="45"/>
      <c r="D1312" s="25"/>
      <c r="E1312" s="271"/>
      <c r="F1312" s="176"/>
    </row>
    <row r="1313" spans="1:7" ht="15.75" thickBot="1" x14ac:dyDescent="0.3">
      <c r="A1313" s="26"/>
      <c r="B1313" s="44"/>
      <c r="C1313" s="45"/>
      <c r="D1313" s="25"/>
      <c r="E1313" s="271"/>
      <c r="F1313" s="176"/>
    </row>
    <row r="1314" spans="1:7" x14ac:dyDescent="0.2">
      <c r="A1314" s="16" t="s">
        <v>270</v>
      </c>
      <c r="B1314" s="33"/>
      <c r="C1314" s="34"/>
      <c r="D1314" s="17"/>
      <c r="E1314" s="257"/>
      <c r="F1314" s="164"/>
    </row>
    <row r="1315" spans="1:7" ht="25.5" x14ac:dyDescent="0.2">
      <c r="A1315" s="90" t="s">
        <v>660</v>
      </c>
      <c r="B1315" s="91"/>
      <c r="C1315" s="92"/>
      <c r="D1315" s="19" t="s">
        <v>233</v>
      </c>
      <c r="E1315" s="258" t="s">
        <v>2</v>
      </c>
      <c r="F1315" s="165"/>
    </row>
    <row r="1316" spans="1:7" ht="15" thickBot="1" x14ac:dyDescent="0.25">
      <c r="A1316" s="20"/>
      <c r="B1316" s="37"/>
      <c r="C1316" s="38"/>
      <c r="D1316" s="21"/>
      <c r="E1316" s="259"/>
      <c r="F1316" s="166"/>
    </row>
    <row r="1317" spans="1:7" ht="15" thickBot="1" x14ac:dyDescent="0.25">
      <c r="A1317" s="22" t="s">
        <v>234</v>
      </c>
      <c r="B1317" s="41" t="s">
        <v>235</v>
      </c>
      <c r="C1317" s="42" t="s">
        <v>236</v>
      </c>
      <c r="D1317" s="23" t="s">
        <v>237</v>
      </c>
      <c r="E1317" s="260" t="s">
        <v>67</v>
      </c>
      <c r="F1317" s="167" t="s">
        <v>238</v>
      </c>
    </row>
    <row r="1318" spans="1:7" ht="15.75" thickTop="1" x14ac:dyDescent="0.25">
      <c r="A1318" s="24" t="s">
        <v>239</v>
      </c>
      <c r="B1318" s="44"/>
      <c r="C1318" s="45"/>
      <c r="D1318" s="25"/>
      <c r="E1318" s="261"/>
      <c r="F1318" s="168"/>
    </row>
    <row r="1319" spans="1:7" ht="28.5" x14ac:dyDescent="0.2">
      <c r="A1319" s="27" t="s">
        <v>656</v>
      </c>
      <c r="B1319" s="44">
        <v>42100</v>
      </c>
      <c r="C1319" s="54">
        <v>1</v>
      </c>
      <c r="D1319" s="25" t="s">
        <v>138</v>
      </c>
      <c r="E1319" s="261">
        <v>0</v>
      </c>
      <c r="F1319" s="168">
        <f>+B1319*C1319*(1+E1319)</f>
        <v>42100</v>
      </c>
    </row>
    <row r="1320" spans="1:7" x14ac:dyDescent="0.2">
      <c r="A1320" s="27" t="s">
        <v>324</v>
      </c>
      <c r="B1320" s="44">
        <v>20119</v>
      </c>
      <c r="C1320" s="54">
        <v>0.01</v>
      </c>
      <c r="D1320" s="25" t="s">
        <v>103</v>
      </c>
      <c r="E1320" s="261">
        <v>0</v>
      </c>
      <c r="F1320" s="168">
        <f>+B1320*C1320*(1+E1320)</f>
        <v>201.19</v>
      </c>
    </row>
    <row r="1321" spans="1:7" ht="15" thickBot="1" x14ac:dyDescent="0.25">
      <c r="A1321" s="20"/>
      <c r="B1321" s="39"/>
      <c r="C1321" s="38"/>
      <c r="D1321" s="21"/>
      <c r="E1321" s="259"/>
      <c r="F1321" s="166"/>
      <c r="G1321" s="55">
        <f>SUM(F1319:F1320)</f>
        <v>42301.19</v>
      </c>
    </row>
    <row r="1322" spans="1:7" ht="15" x14ac:dyDescent="0.25">
      <c r="A1322" s="28" t="s">
        <v>240</v>
      </c>
      <c r="B1322" s="49"/>
      <c r="C1322" s="50"/>
      <c r="D1322" s="29"/>
      <c r="E1322" s="262"/>
      <c r="F1322" s="164"/>
    </row>
    <row r="1323" spans="1:7" x14ac:dyDescent="0.2">
      <c r="A1323" s="27" t="s">
        <v>158</v>
      </c>
      <c r="B1323" s="83">
        <v>846.02380000000005</v>
      </c>
      <c r="C1323" s="45">
        <v>1</v>
      </c>
      <c r="D1323" s="25" t="s">
        <v>101</v>
      </c>
      <c r="E1323" s="261">
        <v>0</v>
      </c>
      <c r="F1323" s="168">
        <f>+B1323*C1323*(1+E1323)</f>
        <v>846.02380000000005</v>
      </c>
    </row>
    <row r="1324" spans="1:7" x14ac:dyDescent="0.2">
      <c r="A1324" s="27"/>
      <c r="B1324" s="44"/>
      <c r="C1324" s="45"/>
      <c r="D1324" s="25"/>
      <c r="E1324" s="261"/>
      <c r="F1324" s="168"/>
    </row>
    <row r="1325" spans="1:7" ht="15" thickBot="1" x14ac:dyDescent="0.25">
      <c r="A1325" s="20"/>
      <c r="B1325" s="39"/>
      <c r="C1325" s="38"/>
      <c r="D1325" s="21"/>
      <c r="E1325" s="259"/>
      <c r="F1325" s="166"/>
    </row>
    <row r="1326" spans="1:7" ht="15" x14ac:dyDescent="0.25">
      <c r="A1326" s="28" t="s">
        <v>116</v>
      </c>
      <c r="B1326" s="49"/>
      <c r="C1326" s="50"/>
      <c r="D1326" s="29"/>
      <c r="E1326" s="262"/>
      <c r="F1326" s="164"/>
    </row>
    <row r="1327" spans="1:7" x14ac:dyDescent="0.2">
      <c r="A1327" s="27" t="s">
        <v>92</v>
      </c>
      <c r="B1327" s="83">
        <v>634.51785000000007</v>
      </c>
      <c r="C1327" s="45">
        <v>1</v>
      </c>
      <c r="D1327" s="25" t="s">
        <v>85</v>
      </c>
      <c r="E1327" s="261">
        <v>0</v>
      </c>
      <c r="F1327" s="168">
        <f>+B1327*C1327*(1+E1327)</f>
        <v>634.51785000000007</v>
      </c>
    </row>
    <row r="1328" spans="1:7" ht="15" thickBot="1" x14ac:dyDescent="0.25">
      <c r="A1328" s="20"/>
      <c r="B1328" s="39"/>
      <c r="C1328" s="38"/>
      <c r="D1328" s="21"/>
      <c r="E1328" s="259"/>
      <c r="F1328" s="166"/>
    </row>
    <row r="1329" spans="1:7" ht="15" x14ac:dyDescent="0.25">
      <c r="A1329" s="24" t="s">
        <v>70</v>
      </c>
      <c r="B1329" s="44"/>
      <c r="C1329" s="45"/>
      <c r="D1329" s="25"/>
      <c r="E1329" s="261"/>
      <c r="F1329" s="168"/>
    </row>
    <row r="1330" spans="1:7" x14ac:dyDescent="0.2">
      <c r="A1330" s="27" t="s">
        <v>70</v>
      </c>
      <c r="B1330" s="44">
        <v>11327.304895833335</v>
      </c>
      <c r="C1330" s="45">
        <v>0.2</v>
      </c>
      <c r="D1330" s="25" t="s">
        <v>102</v>
      </c>
      <c r="E1330" s="261">
        <v>0</v>
      </c>
      <c r="F1330" s="168">
        <f>+B1330*C1330*(1+E1330)</f>
        <v>2265.4609791666671</v>
      </c>
    </row>
    <row r="1331" spans="1:7" ht="15" thickBot="1" x14ac:dyDescent="0.25">
      <c r="A1331" s="27"/>
      <c r="B1331" s="44"/>
      <c r="C1331" s="45"/>
      <c r="D1331" s="25"/>
      <c r="E1331" s="261"/>
      <c r="F1331" s="168"/>
    </row>
    <row r="1332" spans="1:7" ht="15.75" thickBot="1" x14ac:dyDescent="0.3">
      <c r="A1332" s="30"/>
      <c r="B1332" s="52"/>
      <c r="C1332" s="53"/>
      <c r="D1332" s="31"/>
      <c r="E1332" s="263" t="s">
        <v>241</v>
      </c>
      <c r="F1332" s="169">
        <f>SUM(F1319:F1330)</f>
        <v>46047.192629166668</v>
      </c>
    </row>
    <row r="1333" spans="1:7" ht="15" x14ac:dyDescent="0.25">
      <c r="A1333" s="26"/>
      <c r="B1333" s="44"/>
      <c r="C1333" s="45"/>
      <c r="D1333" s="25"/>
      <c r="E1333" s="271"/>
      <c r="F1333" s="176"/>
    </row>
    <row r="1334" spans="1:7" ht="15.75" thickBot="1" x14ac:dyDescent="0.3">
      <c r="A1334" s="26"/>
      <c r="B1334" s="44"/>
      <c r="C1334" s="45"/>
      <c r="D1334" s="25"/>
      <c r="E1334" s="271"/>
      <c r="F1334" s="176"/>
    </row>
    <row r="1335" spans="1:7" x14ac:dyDescent="0.2">
      <c r="A1335" s="16" t="s">
        <v>270</v>
      </c>
      <c r="B1335" s="33"/>
      <c r="C1335" s="34"/>
      <c r="D1335" s="17"/>
      <c r="E1335" s="257"/>
      <c r="F1335" s="164"/>
    </row>
    <row r="1336" spans="1:7" ht="25.5" x14ac:dyDescent="0.2">
      <c r="A1336" s="90" t="s">
        <v>672</v>
      </c>
      <c r="B1336" s="91"/>
      <c r="C1336" s="92"/>
      <c r="D1336" s="19" t="s">
        <v>233</v>
      </c>
      <c r="E1336" s="258" t="s">
        <v>2</v>
      </c>
      <c r="F1336" s="165"/>
    </row>
    <row r="1337" spans="1:7" ht="15" thickBot="1" x14ac:dyDescent="0.25">
      <c r="A1337" s="20"/>
      <c r="B1337" s="37"/>
      <c r="C1337" s="38"/>
      <c r="D1337" s="21"/>
      <c r="E1337" s="259"/>
      <c r="F1337" s="166"/>
    </row>
    <row r="1338" spans="1:7" ht="15" thickBot="1" x14ac:dyDescent="0.25">
      <c r="A1338" s="22" t="s">
        <v>234</v>
      </c>
      <c r="B1338" s="41" t="s">
        <v>235</v>
      </c>
      <c r="C1338" s="42" t="s">
        <v>236</v>
      </c>
      <c r="D1338" s="23" t="s">
        <v>237</v>
      </c>
      <c r="E1338" s="260" t="s">
        <v>67</v>
      </c>
      <c r="F1338" s="167" t="s">
        <v>238</v>
      </c>
    </row>
    <row r="1339" spans="1:7" ht="15.75" thickTop="1" x14ac:dyDescent="0.25">
      <c r="A1339" s="24" t="s">
        <v>239</v>
      </c>
      <c r="B1339" s="44"/>
      <c r="C1339" s="45"/>
      <c r="D1339" s="25"/>
      <c r="E1339" s="261"/>
      <c r="F1339" s="168"/>
    </row>
    <row r="1340" spans="1:7" ht="28.5" x14ac:dyDescent="0.2">
      <c r="A1340" s="27" t="s">
        <v>671</v>
      </c>
      <c r="B1340" s="44">
        <v>110600</v>
      </c>
      <c r="C1340" s="54">
        <v>1</v>
      </c>
      <c r="D1340" s="25" t="s">
        <v>138</v>
      </c>
      <c r="E1340" s="261">
        <v>0</v>
      </c>
      <c r="F1340" s="168">
        <f>+B1340*C1340*(1+E1340)</f>
        <v>110600</v>
      </c>
    </row>
    <row r="1341" spans="1:7" x14ac:dyDescent="0.2">
      <c r="A1341" s="27" t="s">
        <v>324</v>
      </c>
      <c r="B1341" s="44">
        <v>20119</v>
      </c>
      <c r="C1341" s="54">
        <v>0.01</v>
      </c>
      <c r="D1341" s="25" t="s">
        <v>103</v>
      </c>
      <c r="E1341" s="261">
        <v>0</v>
      </c>
      <c r="F1341" s="168">
        <f>+B1341*C1341*(1+E1341)</f>
        <v>201.19</v>
      </c>
    </row>
    <row r="1342" spans="1:7" ht="15" thickBot="1" x14ac:dyDescent="0.25">
      <c r="A1342" s="20"/>
      <c r="B1342" s="39"/>
      <c r="C1342" s="38"/>
      <c r="D1342" s="21"/>
      <c r="E1342" s="259"/>
      <c r="F1342" s="166"/>
      <c r="G1342" s="55">
        <f>SUM(F1340:F1341)</f>
        <v>110801.19</v>
      </c>
    </row>
    <row r="1343" spans="1:7" ht="15" x14ac:dyDescent="0.25">
      <c r="A1343" s="28" t="s">
        <v>240</v>
      </c>
      <c r="B1343" s="49"/>
      <c r="C1343" s="50"/>
      <c r="D1343" s="29"/>
      <c r="E1343" s="262"/>
      <c r="F1343" s="164"/>
    </row>
    <row r="1344" spans="1:7" x14ac:dyDescent="0.2">
      <c r="A1344" s="27" t="s">
        <v>158</v>
      </c>
      <c r="B1344" s="83">
        <v>1108.0119</v>
      </c>
      <c r="C1344" s="45">
        <v>1</v>
      </c>
      <c r="D1344" s="25" t="s">
        <v>101</v>
      </c>
      <c r="E1344" s="261">
        <v>0</v>
      </c>
      <c r="F1344" s="168">
        <f>+B1344*C1344*(1+E1344)</f>
        <v>1108.0119</v>
      </c>
    </row>
    <row r="1345" spans="1:6" x14ac:dyDescent="0.2">
      <c r="A1345" s="27"/>
      <c r="B1345" s="44"/>
      <c r="C1345" s="45"/>
      <c r="D1345" s="25"/>
      <c r="E1345" s="261"/>
      <c r="F1345" s="168"/>
    </row>
    <row r="1346" spans="1:6" ht="15" thickBot="1" x14ac:dyDescent="0.25">
      <c r="A1346" s="20"/>
      <c r="B1346" s="39"/>
      <c r="C1346" s="38"/>
      <c r="D1346" s="21"/>
      <c r="E1346" s="259"/>
      <c r="F1346" s="166"/>
    </row>
    <row r="1347" spans="1:6" ht="15" x14ac:dyDescent="0.25">
      <c r="A1347" s="28" t="s">
        <v>116</v>
      </c>
      <c r="B1347" s="49"/>
      <c r="C1347" s="50"/>
      <c r="D1347" s="29"/>
      <c r="E1347" s="262"/>
      <c r="F1347" s="164"/>
    </row>
    <row r="1348" spans="1:6" x14ac:dyDescent="0.2">
      <c r="A1348" s="27" t="s">
        <v>92</v>
      </c>
      <c r="B1348" s="83">
        <v>554.00594999999998</v>
      </c>
      <c r="C1348" s="45">
        <v>1</v>
      </c>
      <c r="D1348" s="25" t="s">
        <v>85</v>
      </c>
      <c r="E1348" s="261">
        <v>0</v>
      </c>
      <c r="F1348" s="168">
        <f>+B1348*C1348*(1+E1348)</f>
        <v>554.00594999999998</v>
      </c>
    </row>
    <row r="1349" spans="1:6" ht="15" thickBot="1" x14ac:dyDescent="0.25">
      <c r="A1349" s="20"/>
      <c r="B1349" s="39"/>
      <c r="C1349" s="38"/>
      <c r="D1349" s="21"/>
      <c r="E1349" s="259"/>
      <c r="F1349" s="166"/>
    </row>
    <row r="1350" spans="1:6" ht="15" x14ac:dyDescent="0.25">
      <c r="A1350" s="24" t="s">
        <v>70</v>
      </c>
      <c r="B1350" s="44"/>
      <c r="C1350" s="45"/>
      <c r="D1350" s="25"/>
      <c r="E1350" s="261"/>
      <c r="F1350" s="168"/>
    </row>
    <row r="1351" spans="1:6" x14ac:dyDescent="0.2">
      <c r="A1351" s="27" t="s">
        <v>70</v>
      </c>
      <c r="B1351" s="44">
        <v>11327.304895833335</v>
      </c>
      <c r="C1351" s="45">
        <v>0.2</v>
      </c>
      <c r="D1351" s="25" t="s">
        <v>102</v>
      </c>
      <c r="E1351" s="261">
        <v>0</v>
      </c>
      <c r="F1351" s="168">
        <f>+B1351*C1351*(1+E1351)</f>
        <v>2265.4609791666671</v>
      </c>
    </row>
    <row r="1352" spans="1:6" ht="15" thickBot="1" x14ac:dyDescent="0.25">
      <c r="A1352" s="27"/>
      <c r="B1352" s="44"/>
      <c r="C1352" s="45"/>
      <c r="D1352" s="25"/>
      <c r="E1352" s="261"/>
      <c r="F1352" s="168"/>
    </row>
    <row r="1353" spans="1:6" ht="15.75" thickBot="1" x14ac:dyDescent="0.3">
      <c r="A1353" s="30"/>
      <c r="B1353" s="52"/>
      <c r="C1353" s="53"/>
      <c r="D1353" s="31"/>
      <c r="E1353" s="263" t="s">
        <v>241</v>
      </c>
      <c r="F1353" s="169">
        <f>SUM(F1340:F1351)</f>
        <v>114728.66882916668</v>
      </c>
    </row>
    <row r="1354" spans="1:6" ht="15" x14ac:dyDescent="0.25">
      <c r="A1354" s="26"/>
      <c r="B1354" s="44"/>
      <c r="C1354" s="45"/>
      <c r="D1354" s="25"/>
      <c r="E1354" s="271"/>
      <c r="F1354" s="176"/>
    </row>
    <row r="1355" spans="1:6" ht="15" x14ac:dyDescent="0.25">
      <c r="A1355" s="26"/>
      <c r="B1355" s="44"/>
      <c r="C1355" s="45"/>
      <c r="D1355" s="25"/>
      <c r="E1355" s="271"/>
      <c r="F1355" s="176"/>
    </row>
    <row r="1356" spans="1:6" ht="15" x14ac:dyDescent="0.25">
      <c r="A1356" s="26"/>
      <c r="B1356" s="44"/>
      <c r="C1356" s="45"/>
      <c r="D1356" s="25"/>
      <c r="E1356" s="271"/>
      <c r="F1356" s="176"/>
    </row>
    <row r="1357" spans="1:6" ht="15" x14ac:dyDescent="0.25">
      <c r="A1357" s="26"/>
      <c r="B1357" s="44"/>
      <c r="C1357" s="45"/>
      <c r="D1357" s="25"/>
      <c r="E1357" s="271"/>
      <c r="F1357" s="176"/>
    </row>
    <row r="1358" spans="1:6" ht="15.75" thickBot="1" x14ac:dyDescent="0.3">
      <c r="A1358" s="26"/>
      <c r="B1358" s="44"/>
      <c r="C1358" s="45"/>
      <c r="D1358" s="25"/>
      <c r="E1358" s="271"/>
      <c r="F1358" s="176"/>
    </row>
    <row r="1359" spans="1:6" x14ac:dyDescent="0.2">
      <c r="A1359" s="16" t="s">
        <v>270</v>
      </c>
      <c r="B1359" s="33"/>
      <c r="C1359" s="34"/>
      <c r="D1359" s="17"/>
      <c r="E1359" s="257"/>
      <c r="F1359" s="164"/>
    </row>
    <row r="1360" spans="1:6" x14ac:dyDescent="0.2">
      <c r="A1360" s="90" t="s">
        <v>673</v>
      </c>
      <c r="B1360" s="91"/>
      <c r="C1360" s="92"/>
      <c r="D1360" s="19" t="s">
        <v>233</v>
      </c>
      <c r="E1360" s="258" t="s">
        <v>80</v>
      </c>
      <c r="F1360" s="165"/>
    </row>
    <row r="1361" spans="1:7" ht="15" thickBot="1" x14ac:dyDescent="0.25">
      <c r="A1361" s="20"/>
      <c r="B1361" s="37"/>
      <c r="C1361" s="38"/>
      <c r="D1361" s="21"/>
      <c r="E1361" s="259"/>
      <c r="F1361" s="166"/>
    </row>
    <row r="1362" spans="1:7" ht="15" thickBot="1" x14ac:dyDescent="0.25">
      <c r="A1362" s="22" t="s">
        <v>234</v>
      </c>
      <c r="B1362" s="41" t="s">
        <v>235</v>
      </c>
      <c r="C1362" s="42" t="s">
        <v>236</v>
      </c>
      <c r="D1362" s="23" t="s">
        <v>237</v>
      </c>
      <c r="E1362" s="260" t="s">
        <v>67</v>
      </c>
      <c r="F1362" s="167" t="s">
        <v>238</v>
      </c>
    </row>
    <row r="1363" spans="1:7" ht="15.75" thickTop="1" x14ac:dyDescent="0.25">
      <c r="A1363" s="24" t="s">
        <v>239</v>
      </c>
      <c r="B1363" s="44"/>
      <c r="C1363" s="45"/>
      <c r="D1363" s="25"/>
      <c r="E1363" s="261"/>
      <c r="F1363" s="168"/>
    </row>
    <row r="1364" spans="1:7" x14ac:dyDescent="0.2">
      <c r="A1364" s="27" t="s">
        <v>661</v>
      </c>
      <c r="B1364" s="44">
        <f>(67529*1.19)/6</f>
        <v>13393.251666666665</v>
      </c>
      <c r="C1364" s="54">
        <v>1</v>
      </c>
      <c r="D1364" s="25" t="s">
        <v>82</v>
      </c>
      <c r="E1364" s="261">
        <v>0.03</v>
      </c>
      <c r="F1364" s="168">
        <f t="shared" ref="F1364:F1369" si="24">+B1364*C1364*(1+E1364)</f>
        <v>13795.049216666666</v>
      </c>
    </row>
    <row r="1365" spans="1:7" x14ac:dyDescent="0.2">
      <c r="A1365" s="27" t="s">
        <v>122</v>
      </c>
      <c r="B1365" s="44">
        <v>38000</v>
      </c>
      <c r="C1365" s="54">
        <v>1.66E-2</v>
      </c>
      <c r="D1365" s="25" t="s">
        <v>103</v>
      </c>
      <c r="E1365" s="261">
        <v>0.03</v>
      </c>
      <c r="F1365" s="168">
        <f t="shared" si="24"/>
        <v>649.72399999999993</v>
      </c>
    </row>
    <row r="1366" spans="1:7" x14ac:dyDescent="0.2">
      <c r="A1366" s="27" t="s">
        <v>123</v>
      </c>
      <c r="B1366" s="44">
        <v>62900</v>
      </c>
      <c r="C1366" s="54">
        <v>1.66E-2</v>
      </c>
      <c r="D1366" s="25" t="s">
        <v>103</v>
      </c>
      <c r="E1366" s="261">
        <v>0.03</v>
      </c>
      <c r="F1366" s="168">
        <f t="shared" si="24"/>
        <v>1075.4642000000001</v>
      </c>
    </row>
    <row r="1367" spans="1:7" x14ac:dyDescent="0.2">
      <c r="A1367" s="27" t="s">
        <v>134</v>
      </c>
      <c r="B1367" s="44">
        <f>2769*1.19</f>
        <v>3295.1099999999997</v>
      </c>
      <c r="C1367" s="54">
        <v>0.19450000000000001</v>
      </c>
      <c r="D1367" s="25" t="s">
        <v>90</v>
      </c>
      <c r="E1367" s="261">
        <v>0</v>
      </c>
      <c r="F1367" s="168">
        <f t="shared" si="24"/>
        <v>640.89889499999992</v>
      </c>
    </row>
    <row r="1368" spans="1:7" x14ac:dyDescent="0.2">
      <c r="A1368" s="27" t="s">
        <v>135</v>
      </c>
      <c r="B1368" s="44">
        <f>9619*1.19</f>
        <v>11446.609999999999</v>
      </c>
      <c r="C1368" s="54">
        <v>0.06</v>
      </c>
      <c r="D1368" s="25" t="s">
        <v>90</v>
      </c>
      <c r="E1368" s="261">
        <v>0</v>
      </c>
      <c r="F1368" s="168">
        <f t="shared" si="24"/>
        <v>686.7965999999999</v>
      </c>
    </row>
    <row r="1369" spans="1:7" x14ac:dyDescent="0.2">
      <c r="A1369" s="27" t="s">
        <v>136</v>
      </c>
      <c r="B1369" s="44">
        <f>7527*1.19</f>
        <v>8957.1299999999992</v>
      </c>
      <c r="C1369" s="54">
        <v>0.05</v>
      </c>
      <c r="D1369" s="25" t="s">
        <v>90</v>
      </c>
      <c r="E1369" s="261">
        <v>0</v>
      </c>
      <c r="F1369" s="168">
        <f t="shared" si="24"/>
        <v>447.85649999999998</v>
      </c>
    </row>
    <row r="1370" spans="1:7" ht="15" thickBot="1" x14ac:dyDescent="0.25">
      <c r="A1370" s="20"/>
      <c r="B1370" s="39"/>
      <c r="C1370" s="38"/>
      <c r="D1370" s="21"/>
      <c r="E1370" s="259"/>
      <c r="F1370" s="166"/>
      <c r="G1370" s="55">
        <f>SUM(F1364:F1369)</f>
        <v>17295.789411666668</v>
      </c>
    </row>
    <row r="1371" spans="1:7" ht="15" x14ac:dyDescent="0.25">
      <c r="A1371" s="28" t="s">
        <v>240</v>
      </c>
      <c r="B1371" s="49"/>
      <c r="C1371" s="50"/>
      <c r="D1371" s="29"/>
      <c r="E1371" s="262"/>
      <c r="F1371" s="164"/>
    </row>
    <row r="1372" spans="1:7" x14ac:dyDescent="0.2">
      <c r="A1372" s="27" t="s">
        <v>158</v>
      </c>
      <c r="B1372" s="83">
        <v>864.78947058333347</v>
      </c>
      <c r="C1372" s="45">
        <v>1</v>
      </c>
      <c r="D1372" s="25" t="s">
        <v>101</v>
      </c>
      <c r="E1372" s="261">
        <v>0</v>
      </c>
      <c r="F1372" s="168">
        <f>+B1372*C1372*(1+E1372)</f>
        <v>864.78947058333347</v>
      </c>
    </row>
    <row r="1373" spans="1:7" x14ac:dyDescent="0.2">
      <c r="A1373" s="27"/>
      <c r="B1373" s="44"/>
      <c r="C1373" s="45"/>
      <c r="D1373" s="25"/>
      <c r="E1373" s="261"/>
      <c r="F1373" s="168"/>
    </row>
    <row r="1374" spans="1:7" ht="15" thickBot="1" x14ac:dyDescent="0.25">
      <c r="A1374" s="20"/>
      <c r="B1374" s="39"/>
      <c r="C1374" s="38"/>
      <c r="D1374" s="21"/>
      <c r="E1374" s="259"/>
      <c r="F1374" s="166"/>
    </row>
    <row r="1375" spans="1:7" ht="15" x14ac:dyDescent="0.25">
      <c r="A1375" s="28" t="s">
        <v>116</v>
      </c>
      <c r="B1375" s="49"/>
      <c r="C1375" s="50"/>
      <c r="D1375" s="29"/>
      <c r="E1375" s="262"/>
      <c r="F1375" s="164"/>
    </row>
    <row r="1376" spans="1:7" x14ac:dyDescent="0.2">
      <c r="A1376" s="27" t="s">
        <v>92</v>
      </c>
      <c r="B1376" s="83">
        <v>518.87368235000008</v>
      </c>
      <c r="C1376" s="45">
        <v>1</v>
      </c>
      <c r="D1376" s="25" t="s">
        <v>85</v>
      </c>
      <c r="E1376" s="261">
        <v>0</v>
      </c>
      <c r="F1376" s="168">
        <f>+B1376*C1376*(1+E1376)</f>
        <v>518.87368235000008</v>
      </c>
    </row>
    <row r="1377" spans="1:6" ht="15" thickBot="1" x14ac:dyDescent="0.25">
      <c r="A1377" s="20"/>
      <c r="B1377" s="39"/>
      <c r="C1377" s="38"/>
      <c r="D1377" s="21"/>
      <c r="E1377" s="259"/>
      <c r="F1377" s="166"/>
    </row>
    <row r="1378" spans="1:6" ht="15" x14ac:dyDescent="0.25">
      <c r="A1378" s="24" t="s">
        <v>70</v>
      </c>
      <c r="B1378" s="44"/>
      <c r="C1378" s="45"/>
      <c r="D1378" s="25"/>
      <c r="E1378" s="261"/>
      <c r="F1378" s="168"/>
    </row>
    <row r="1379" spans="1:6" x14ac:dyDescent="0.2">
      <c r="A1379" s="27" t="s">
        <v>70</v>
      </c>
      <c r="B1379" s="44">
        <v>11327.304895833335</v>
      </c>
      <c r="C1379" s="45">
        <v>1.2</v>
      </c>
      <c r="D1379" s="25" t="s">
        <v>102</v>
      </c>
      <c r="E1379" s="261">
        <v>0</v>
      </c>
      <c r="F1379" s="168">
        <f>+B1379*C1379*(1+E1379)</f>
        <v>13592.765875000001</v>
      </c>
    </row>
    <row r="1380" spans="1:6" ht="15" thickBot="1" x14ac:dyDescent="0.25">
      <c r="A1380" s="27"/>
      <c r="B1380" s="44"/>
      <c r="C1380" s="45"/>
      <c r="D1380" s="25"/>
      <c r="E1380" s="261"/>
      <c r="F1380" s="168"/>
    </row>
    <row r="1381" spans="1:6" ht="15.75" thickBot="1" x14ac:dyDescent="0.3">
      <c r="A1381" s="30"/>
      <c r="B1381" s="52"/>
      <c r="C1381" s="53"/>
      <c r="D1381" s="31"/>
      <c r="E1381" s="263" t="s">
        <v>241</v>
      </c>
      <c r="F1381" s="169">
        <f>SUM(F1364:F1379)</f>
        <v>32272.218439600005</v>
      </c>
    </row>
    <row r="1382" spans="1:6" ht="15" x14ac:dyDescent="0.25">
      <c r="A1382" s="26"/>
      <c r="B1382" s="44"/>
      <c r="C1382" s="45"/>
      <c r="D1382" s="25"/>
      <c r="E1382" s="271"/>
      <c r="F1382" s="176"/>
    </row>
    <row r="1383" spans="1:6" ht="15" x14ac:dyDescent="0.25">
      <c r="A1383" s="26"/>
      <c r="B1383" s="44"/>
      <c r="C1383" s="45"/>
      <c r="D1383" s="25"/>
      <c r="E1383" s="271"/>
      <c r="F1383" s="176"/>
    </row>
    <row r="1384" spans="1:6" ht="15.75" thickBot="1" x14ac:dyDescent="0.3">
      <c r="A1384" s="26"/>
      <c r="B1384" s="44"/>
      <c r="C1384" s="45"/>
      <c r="D1384" s="25"/>
      <c r="E1384" s="271"/>
      <c r="F1384" s="176"/>
    </row>
    <row r="1385" spans="1:6" x14ac:dyDescent="0.2">
      <c r="A1385" s="16" t="s">
        <v>270</v>
      </c>
      <c r="B1385" s="33"/>
      <c r="C1385" s="34"/>
      <c r="D1385" s="17"/>
      <c r="E1385" s="257"/>
      <c r="F1385" s="164"/>
    </row>
    <row r="1386" spans="1:6" ht="25.5" x14ac:dyDescent="0.2">
      <c r="A1386" s="90" t="s">
        <v>674</v>
      </c>
      <c r="B1386" s="91"/>
      <c r="C1386" s="92"/>
      <c r="D1386" s="19" t="s">
        <v>233</v>
      </c>
      <c r="E1386" s="258" t="s">
        <v>80</v>
      </c>
      <c r="F1386" s="165"/>
    </row>
    <row r="1387" spans="1:6" ht="15" thickBot="1" x14ac:dyDescent="0.25">
      <c r="A1387" s="20"/>
      <c r="B1387" s="37"/>
      <c r="C1387" s="38"/>
      <c r="D1387" s="21"/>
      <c r="E1387" s="259"/>
      <c r="F1387" s="166"/>
    </row>
    <row r="1388" spans="1:6" ht="15" thickBot="1" x14ac:dyDescent="0.25">
      <c r="A1388" s="22" t="s">
        <v>234</v>
      </c>
      <c r="B1388" s="41" t="s">
        <v>235</v>
      </c>
      <c r="C1388" s="42" t="s">
        <v>236</v>
      </c>
      <c r="D1388" s="23" t="s">
        <v>237</v>
      </c>
      <c r="E1388" s="260" t="s">
        <v>67</v>
      </c>
      <c r="F1388" s="167" t="s">
        <v>238</v>
      </c>
    </row>
    <row r="1389" spans="1:6" ht="15.75" thickTop="1" x14ac:dyDescent="0.25">
      <c r="A1389" s="24" t="s">
        <v>239</v>
      </c>
      <c r="B1389" s="44"/>
      <c r="C1389" s="45"/>
      <c r="D1389" s="25"/>
      <c r="E1389" s="261"/>
      <c r="F1389" s="168"/>
    </row>
    <row r="1390" spans="1:6" x14ac:dyDescent="0.2">
      <c r="A1390" s="27" t="s">
        <v>663</v>
      </c>
      <c r="B1390" s="44">
        <f>(109442*1.19)/6</f>
        <v>21705.996666666666</v>
      </c>
      <c r="C1390" s="54">
        <v>1</v>
      </c>
      <c r="D1390" s="25" t="s">
        <v>82</v>
      </c>
      <c r="E1390" s="261">
        <v>0.03</v>
      </c>
      <c r="F1390" s="168">
        <f t="shared" ref="F1390:F1395" si="25">+B1390*C1390*(1+E1390)</f>
        <v>22357.176566666665</v>
      </c>
    </row>
    <row r="1391" spans="1:6" x14ac:dyDescent="0.2">
      <c r="A1391" s="27" t="s">
        <v>122</v>
      </c>
      <c r="B1391" s="44">
        <v>38000</v>
      </c>
      <c r="C1391" s="54">
        <v>1.7999999999999999E-2</v>
      </c>
      <c r="D1391" s="25" t="s">
        <v>103</v>
      </c>
      <c r="E1391" s="261">
        <v>0.03</v>
      </c>
      <c r="F1391" s="168">
        <f t="shared" si="25"/>
        <v>704.52</v>
      </c>
    </row>
    <row r="1392" spans="1:6" x14ac:dyDescent="0.2">
      <c r="A1392" s="27" t="s">
        <v>123</v>
      </c>
      <c r="B1392" s="44">
        <v>62900</v>
      </c>
      <c r="C1392" s="54">
        <v>1.7999999999999999E-2</v>
      </c>
      <c r="D1392" s="25" t="s">
        <v>103</v>
      </c>
      <c r="E1392" s="261">
        <v>0.03</v>
      </c>
      <c r="F1392" s="168">
        <f t="shared" si="25"/>
        <v>1166.1659999999999</v>
      </c>
    </row>
    <row r="1393" spans="1:7" x14ac:dyDescent="0.2">
      <c r="A1393" s="27" t="s">
        <v>664</v>
      </c>
      <c r="B1393" s="44">
        <f>10956*1.19</f>
        <v>13037.64</v>
      </c>
      <c r="C1393" s="54">
        <v>0.19450000000000001</v>
      </c>
      <c r="D1393" s="25" t="s">
        <v>90</v>
      </c>
      <c r="E1393" s="261">
        <v>0</v>
      </c>
      <c r="F1393" s="168">
        <f t="shared" si="25"/>
        <v>2535.82098</v>
      </c>
    </row>
    <row r="1394" spans="1:7" x14ac:dyDescent="0.2">
      <c r="A1394" s="27" t="s">
        <v>665</v>
      </c>
      <c r="B1394" s="44">
        <f>22813*1.19</f>
        <v>27147.469999999998</v>
      </c>
      <c r="C1394" s="54">
        <v>0.06</v>
      </c>
      <c r="D1394" s="25" t="s">
        <v>90</v>
      </c>
      <c r="E1394" s="261">
        <v>0</v>
      </c>
      <c r="F1394" s="168">
        <f t="shared" si="25"/>
        <v>1628.8481999999997</v>
      </c>
    </row>
    <row r="1395" spans="1:7" x14ac:dyDescent="0.2">
      <c r="A1395" s="27" t="s">
        <v>666</v>
      </c>
      <c r="B1395" s="44">
        <f>21677*1.19</f>
        <v>25795.629999999997</v>
      </c>
      <c r="C1395" s="54">
        <v>0.05</v>
      </c>
      <c r="D1395" s="25" t="s">
        <v>90</v>
      </c>
      <c r="E1395" s="261">
        <v>0</v>
      </c>
      <c r="F1395" s="168">
        <f t="shared" si="25"/>
        <v>1289.7815000000001</v>
      </c>
    </row>
    <row r="1396" spans="1:7" ht="15" thickBot="1" x14ac:dyDescent="0.25">
      <c r="A1396" s="20"/>
      <c r="B1396" s="39"/>
      <c r="C1396" s="38"/>
      <c r="D1396" s="21"/>
      <c r="E1396" s="259"/>
      <c r="F1396" s="166"/>
      <c r="G1396" s="55">
        <f>SUM(F1390:F1395)</f>
        <v>29682.313246666668</v>
      </c>
    </row>
    <row r="1397" spans="1:7" ht="15" x14ac:dyDescent="0.25">
      <c r="A1397" s="28" t="s">
        <v>240</v>
      </c>
      <c r="B1397" s="49"/>
      <c r="C1397" s="50"/>
      <c r="D1397" s="29"/>
      <c r="E1397" s="262"/>
      <c r="F1397" s="164"/>
    </row>
    <row r="1398" spans="1:7" x14ac:dyDescent="0.2">
      <c r="A1398" s="27" t="s">
        <v>158</v>
      </c>
      <c r="B1398" s="83">
        <v>1484.1156623333336</v>
      </c>
      <c r="C1398" s="45">
        <v>1</v>
      </c>
      <c r="D1398" s="25" t="s">
        <v>101</v>
      </c>
      <c r="E1398" s="261">
        <v>0</v>
      </c>
      <c r="F1398" s="168">
        <f>+B1398*C1398*(1+E1398)</f>
        <v>1484.1156623333336</v>
      </c>
    </row>
    <row r="1399" spans="1:7" x14ac:dyDescent="0.2">
      <c r="A1399" s="27"/>
      <c r="B1399" s="44"/>
      <c r="C1399" s="45"/>
      <c r="D1399" s="25"/>
      <c r="E1399" s="261"/>
      <c r="F1399" s="168"/>
    </row>
    <row r="1400" spans="1:7" ht="15" thickBot="1" x14ac:dyDescent="0.25">
      <c r="A1400" s="20"/>
      <c r="B1400" s="39"/>
      <c r="C1400" s="38"/>
      <c r="D1400" s="21"/>
      <c r="E1400" s="259"/>
      <c r="F1400" s="166"/>
    </row>
    <row r="1401" spans="1:7" ht="15" x14ac:dyDescent="0.25">
      <c r="A1401" s="28" t="s">
        <v>116</v>
      </c>
      <c r="B1401" s="49"/>
      <c r="C1401" s="50"/>
      <c r="D1401" s="29"/>
      <c r="E1401" s="262"/>
      <c r="F1401" s="164"/>
    </row>
    <row r="1402" spans="1:7" x14ac:dyDescent="0.2">
      <c r="A1402" s="27" t="s">
        <v>92</v>
      </c>
      <c r="B1402" s="83">
        <v>890.46939740000005</v>
      </c>
      <c r="C1402" s="45">
        <v>1</v>
      </c>
      <c r="D1402" s="25" t="s">
        <v>85</v>
      </c>
      <c r="E1402" s="261">
        <v>0</v>
      </c>
      <c r="F1402" s="168">
        <f>+B1402*C1402*(1+E1402)</f>
        <v>890.46939740000005</v>
      </c>
    </row>
    <row r="1403" spans="1:7" ht="15" thickBot="1" x14ac:dyDescent="0.25">
      <c r="A1403" s="20"/>
      <c r="B1403" s="39"/>
      <c r="C1403" s="38"/>
      <c r="D1403" s="21"/>
      <c r="E1403" s="259"/>
      <c r="F1403" s="166"/>
    </row>
    <row r="1404" spans="1:7" ht="15" x14ac:dyDescent="0.25">
      <c r="A1404" s="24" t="s">
        <v>70</v>
      </c>
      <c r="B1404" s="44"/>
      <c r="C1404" s="45"/>
      <c r="D1404" s="25"/>
      <c r="E1404" s="261"/>
      <c r="F1404" s="168"/>
    </row>
    <row r="1405" spans="1:7" x14ac:dyDescent="0.2">
      <c r="A1405" s="27" t="s">
        <v>70</v>
      </c>
      <c r="B1405" s="44">
        <v>11327.304895833335</v>
      </c>
      <c r="C1405" s="45">
        <v>1.2</v>
      </c>
      <c r="D1405" s="25" t="s">
        <v>102</v>
      </c>
      <c r="E1405" s="261">
        <v>0</v>
      </c>
      <c r="F1405" s="168">
        <f>+B1405*C1405*(1+E1405)</f>
        <v>13592.765875000001</v>
      </c>
    </row>
    <row r="1406" spans="1:7" ht="15" thickBot="1" x14ac:dyDescent="0.25">
      <c r="A1406" s="27"/>
      <c r="B1406" s="44"/>
      <c r="C1406" s="45"/>
      <c r="D1406" s="25"/>
      <c r="E1406" s="261"/>
      <c r="F1406" s="168"/>
    </row>
    <row r="1407" spans="1:7" ht="15.75" thickBot="1" x14ac:dyDescent="0.3">
      <c r="A1407" s="30"/>
      <c r="B1407" s="52"/>
      <c r="C1407" s="53"/>
      <c r="D1407" s="31"/>
      <c r="E1407" s="263" t="s">
        <v>241</v>
      </c>
      <c r="F1407" s="169">
        <f>SUM(F1390:F1405)</f>
        <v>45649.664181400003</v>
      </c>
    </row>
    <row r="1408" spans="1:7" ht="15" x14ac:dyDescent="0.25">
      <c r="A1408" s="26"/>
      <c r="B1408" s="44"/>
      <c r="C1408" s="45"/>
      <c r="D1408" s="25"/>
      <c r="E1408" s="271"/>
      <c r="F1408" s="176"/>
    </row>
    <row r="1409" spans="1:7" ht="15" x14ac:dyDescent="0.25">
      <c r="A1409" s="26"/>
      <c r="B1409" s="44"/>
      <c r="C1409" s="45"/>
      <c r="D1409" s="25"/>
      <c r="E1409" s="271"/>
      <c r="F1409" s="176"/>
    </row>
    <row r="1410" spans="1:7" ht="15.75" thickBot="1" x14ac:dyDescent="0.3">
      <c r="A1410" s="26"/>
      <c r="B1410" s="44"/>
      <c r="C1410" s="45"/>
      <c r="D1410" s="25"/>
      <c r="E1410" s="271"/>
      <c r="F1410" s="176"/>
    </row>
    <row r="1411" spans="1:7" x14ac:dyDescent="0.2">
      <c r="A1411" s="16" t="s">
        <v>270</v>
      </c>
      <c r="B1411" s="33"/>
      <c r="C1411" s="34"/>
      <c r="D1411" s="17"/>
      <c r="E1411" s="257"/>
      <c r="F1411" s="164"/>
    </row>
    <row r="1412" spans="1:7" x14ac:dyDescent="0.2">
      <c r="A1412" s="90" t="s">
        <v>675</v>
      </c>
      <c r="B1412" s="91"/>
      <c r="C1412" s="92"/>
      <c r="D1412" s="19" t="s">
        <v>233</v>
      </c>
      <c r="E1412" s="258" t="s">
        <v>80</v>
      </c>
      <c r="F1412" s="165"/>
    </row>
    <row r="1413" spans="1:7" ht="15" thickBot="1" x14ac:dyDescent="0.25">
      <c r="A1413" s="20"/>
      <c r="B1413" s="37"/>
      <c r="C1413" s="38"/>
      <c r="D1413" s="21"/>
      <c r="E1413" s="259"/>
      <c r="F1413" s="166"/>
    </row>
    <row r="1414" spans="1:7" ht="15" thickBot="1" x14ac:dyDescent="0.25">
      <c r="A1414" s="22" t="s">
        <v>234</v>
      </c>
      <c r="B1414" s="41" t="s">
        <v>235</v>
      </c>
      <c r="C1414" s="42" t="s">
        <v>236</v>
      </c>
      <c r="D1414" s="23" t="s">
        <v>237</v>
      </c>
      <c r="E1414" s="260" t="s">
        <v>67</v>
      </c>
      <c r="F1414" s="167" t="s">
        <v>238</v>
      </c>
    </row>
    <row r="1415" spans="1:7" ht="15.75" thickTop="1" x14ac:dyDescent="0.25">
      <c r="A1415" s="24" t="s">
        <v>239</v>
      </c>
      <c r="B1415" s="44"/>
      <c r="C1415" s="45"/>
      <c r="D1415" s="25"/>
      <c r="E1415" s="261"/>
      <c r="F1415" s="168"/>
    </row>
    <row r="1416" spans="1:7" x14ac:dyDescent="0.2">
      <c r="A1416" s="27" t="s">
        <v>667</v>
      </c>
      <c r="B1416" s="44">
        <f>(18724*1.19)/6</f>
        <v>3713.5933333333328</v>
      </c>
      <c r="C1416" s="54">
        <v>1</v>
      </c>
      <c r="D1416" s="25" t="s">
        <v>82</v>
      </c>
      <c r="E1416" s="261">
        <v>0.03</v>
      </c>
      <c r="F1416" s="168">
        <f t="shared" ref="F1416:F1421" si="26">+B1416*C1416*(1+E1416)</f>
        <v>3825.0011333333327</v>
      </c>
    </row>
    <row r="1417" spans="1:7" x14ac:dyDescent="0.2">
      <c r="A1417" s="27" t="s">
        <v>122</v>
      </c>
      <c r="B1417" s="44">
        <v>38000</v>
      </c>
      <c r="C1417" s="54">
        <v>1.4999999999999999E-2</v>
      </c>
      <c r="D1417" s="25" t="s">
        <v>103</v>
      </c>
      <c r="E1417" s="261">
        <v>0.03</v>
      </c>
      <c r="F1417" s="168">
        <f t="shared" si="26"/>
        <v>587.1</v>
      </c>
    </row>
    <row r="1418" spans="1:7" x14ac:dyDescent="0.2">
      <c r="A1418" s="27" t="s">
        <v>123</v>
      </c>
      <c r="B1418" s="44">
        <v>62900</v>
      </c>
      <c r="C1418" s="54">
        <v>1.4999999999999999E-2</v>
      </c>
      <c r="D1418" s="25" t="s">
        <v>103</v>
      </c>
      <c r="E1418" s="261">
        <v>0.03</v>
      </c>
      <c r="F1418" s="168">
        <f t="shared" si="26"/>
        <v>971.80500000000006</v>
      </c>
    </row>
    <row r="1419" spans="1:7" x14ac:dyDescent="0.2">
      <c r="A1419" s="27" t="s">
        <v>669</v>
      </c>
      <c r="B1419" s="44">
        <f>675*1.19</f>
        <v>803.25</v>
      </c>
      <c r="C1419" s="54">
        <v>0.19450000000000001</v>
      </c>
      <c r="D1419" s="25" t="s">
        <v>90</v>
      </c>
      <c r="E1419" s="261">
        <v>0</v>
      </c>
      <c r="F1419" s="168">
        <f t="shared" si="26"/>
        <v>156.232125</v>
      </c>
    </row>
    <row r="1420" spans="1:7" x14ac:dyDescent="0.2">
      <c r="A1420" s="27" t="s">
        <v>668</v>
      </c>
      <c r="B1420" s="44">
        <f>1782*1.19</f>
        <v>2120.58</v>
      </c>
      <c r="C1420" s="54">
        <v>0.06</v>
      </c>
      <c r="D1420" s="25" t="s">
        <v>90</v>
      </c>
      <c r="E1420" s="261">
        <v>0</v>
      </c>
      <c r="F1420" s="168">
        <f t="shared" si="26"/>
        <v>127.23479999999999</v>
      </c>
    </row>
    <row r="1421" spans="1:7" x14ac:dyDescent="0.2">
      <c r="A1421" s="27" t="s">
        <v>670</v>
      </c>
      <c r="B1421" s="44">
        <f>1280*1.19</f>
        <v>1523.1999999999998</v>
      </c>
      <c r="C1421" s="54">
        <v>0.05</v>
      </c>
      <c r="D1421" s="25" t="s">
        <v>90</v>
      </c>
      <c r="E1421" s="261">
        <v>0</v>
      </c>
      <c r="F1421" s="168">
        <f t="shared" si="26"/>
        <v>76.16</v>
      </c>
    </row>
    <row r="1422" spans="1:7" ht="15" thickBot="1" x14ac:dyDescent="0.25">
      <c r="A1422" s="20"/>
      <c r="B1422" s="39"/>
      <c r="C1422" s="38"/>
      <c r="D1422" s="21"/>
      <c r="E1422" s="259"/>
      <c r="F1422" s="166"/>
      <c r="G1422" s="55">
        <f>SUM(F1416:F1421)</f>
        <v>5743.5330583333325</v>
      </c>
    </row>
    <row r="1423" spans="1:7" ht="15" x14ac:dyDescent="0.25">
      <c r="A1423" s="28" t="s">
        <v>240</v>
      </c>
      <c r="B1423" s="49"/>
      <c r="C1423" s="50"/>
      <c r="D1423" s="29"/>
      <c r="E1423" s="262"/>
      <c r="F1423" s="164"/>
    </row>
    <row r="1424" spans="1:7" x14ac:dyDescent="0.2">
      <c r="A1424" s="27" t="s">
        <v>158</v>
      </c>
      <c r="B1424" s="83">
        <v>287.17665291666663</v>
      </c>
      <c r="C1424" s="45">
        <v>1</v>
      </c>
      <c r="D1424" s="25" t="s">
        <v>101</v>
      </c>
      <c r="E1424" s="261">
        <v>0</v>
      </c>
      <c r="F1424" s="168">
        <f>+B1424*C1424*(1+E1424)</f>
        <v>287.17665291666663</v>
      </c>
    </row>
    <row r="1425" spans="1:6" x14ac:dyDescent="0.2">
      <c r="A1425" s="27"/>
      <c r="B1425" s="44"/>
      <c r="C1425" s="45"/>
      <c r="D1425" s="25"/>
      <c r="E1425" s="261"/>
      <c r="F1425" s="168"/>
    </row>
    <row r="1426" spans="1:6" ht="15" thickBot="1" x14ac:dyDescent="0.25">
      <c r="A1426" s="20"/>
      <c r="B1426" s="39"/>
      <c r="C1426" s="38"/>
      <c r="D1426" s="21"/>
      <c r="E1426" s="259"/>
      <c r="F1426" s="166"/>
    </row>
    <row r="1427" spans="1:6" ht="15" x14ac:dyDescent="0.25">
      <c r="A1427" s="28" t="s">
        <v>116</v>
      </c>
      <c r="B1427" s="49"/>
      <c r="C1427" s="50"/>
      <c r="D1427" s="29"/>
      <c r="E1427" s="262"/>
      <c r="F1427" s="164"/>
    </row>
    <row r="1428" spans="1:6" x14ac:dyDescent="0.2">
      <c r="A1428" s="27" t="s">
        <v>92</v>
      </c>
      <c r="B1428" s="83">
        <v>172.30599174999998</v>
      </c>
      <c r="C1428" s="45">
        <v>1</v>
      </c>
      <c r="D1428" s="25" t="s">
        <v>85</v>
      </c>
      <c r="E1428" s="261">
        <v>0</v>
      </c>
      <c r="F1428" s="168">
        <f>+B1428*C1428*(1+E1428)</f>
        <v>172.30599174999998</v>
      </c>
    </row>
    <row r="1429" spans="1:6" ht="15" thickBot="1" x14ac:dyDescent="0.25">
      <c r="A1429" s="20"/>
      <c r="B1429" s="39"/>
      <c r="C1429" s="38"/>
      <c r="D1429" s="21"/>
      <c r="E1429" s="259"/>
      <c r="F1429" s="166"/>
    </row>
    <row r="1430" spans="1:6" ht="15" x14ac:dyDescent="0.25">
      <c r="A1430" s="24" t="s">
        <v>70</v>
      </c>
      <c r="B1430" s="44"/>
      <c r="C1430" s="45"/>
      <c r="D1430" s="25"/>
      <c r="E1430" s="261"/>
      <c r="F1430" s="168"/>
    </row>
    <row r="1431" spans="1:6" x14ac:dyDescent="0.2">
      <c r="A1431" s="27" t="s">
        <v>70</v>
      </c>
      <c r="B1431" s="44">
        <v>11327.304895833335</v>
      </c>
      <c r="C1431" s="45">
        <v>1.2</v>
      </c>
      <c r="D1431" s="25" t="s">
        <v>102</v>
      </c>
      <c r="E1431" s="261">
        <v>0</v>
      </c>
      <c r="F1431" s="168">
        <f>+B1431*C1431*(1+E1431)</f>
        <v>13592.765875000001</v>
      </c>
    </row>
    <row r="1432" spans="1:6" ht="15" thickBot="1" x14ac:dyDescent="0.25">
      <c r="A1432" s="27"/>
      <c r="B1432" s="44"/>
      <c r="C1432" s="45"/>
      <c r="D1432" s="25"/>
      <c r="E1432" s="261"/>
      <c r="F1432" s="168"/>
    </row>
    <row r="1433" spans="1:6" ht="15.75" thickBot="1" x14ac:dyDescent="0.3">
      <c r="A1433" s="30"/>
      <c r="B1433" s="52"/>
      <c r="C1433" s="53"/>
      <c r="D1433" s="31"/>
      <c r="E1433" s="263" t="s">
        <v>241</v>
      </c>
      <c r="F1433" s="169">
        <f>SUM(F1416:F1431)</f>
        <v>19795.781578000002</v>
      </c>
    </row>
    <row r="1434" spans="1:6" ht="15" x14ac:dyDescent="0.25">
      <c r="A1434" s="26"/>
      <c r="B1434" s="44"/>
      <c r="C1434" s="45"/>
      <c r="D1434" s="25"/>
      <c r="E1434" s="271"/>
      <c r="F1434" s="176"/>
    </row>
    <row r="1435" spans="1:6" ht="15" x14ac:dyDescent="0.25">
      <c r="A1435" s="26"/>
      <c r="B1435" s="44"/>
      <c r="C1435" s="45"/>
      <c r="D1435" s="25"/>
      <c r="E1435" s="271"/>
      <c r="F1435" s="176"/>
    </row>
    <row r="1436" spans="1:6" ht="15.75" thickBot="1" x14ac:dyDescent="0.3">
      <c r="A1436" s="26"/>
      <c r="B1436" s="44"/>
      <c r="C1436" s="45"/>
      <c r="D1436" s="25"/>
      <c r="E1436" s="271"/>
      <c r="F1436" s="176"/>
    </row>
    <row r="1437" spans="1:6" x14ac:dyDescent="0.2">
      <c r="A1437" s="16" t="s">
        <v>26</v>
      </c>
      <c r="B1437" s="33"/>
      <c r="C1437" s="34"/>
      <c r="D1437" s="17"/>
      <c r="E1437" s="257"/>
      <c r="F1437" s="164"/>
    </row>
    <row r="1438" spans="1:6" ht="25.5" x14ac:dyDescent="0.2">
      <c r="A1438" s="90" t="s">
        <v>274</v>
      </c>
      <c r="B1438" s="91"/>
      <c r="C1438" s="92"/>
      <c r="D1438" s="91" t="s">
        <v>233</v>
      </c>
      <c r="E1438" s="258" t="s">
        <v>75</v>
      </c>
      <c r="F1438" s="165"/>
    </row>
    <row r="1439" spans="1:6" ht="15" thickBot="1" x14ac:dyDescent="0.25">
      <c r="A1439" s="20"/>
      <c r="B1439" s="37"/>
      <c r="C1439" s="38"/>
      <c r="D1439" s="21"/>
      <c r="E1439" s="259"/>
      <c r="F1439" s="166"/>
    </row>
    <row r="1440" spans="1:6" ht="15" thickBot="1" x14ac:dyDescent="0.25">
      <c r="A1440" s="22" t="s">
        <v>234</v>
      </c>
      <c r="B1440" s="41" t="s">
        <v>235</v>
      </c>
      <c r="C1440" s="42" t="s">
        <v>236</v>
      </c>
      <c r="D1440" s="23" t="s">
        <v>237</v>
      </c>
      <c r="E1440" s="260" t="s">
        <v>67</v>
      </c>
      <c r="F1440" s="167" t="s">
        <v>238</v>
      </c>
    </row>
    <row r="1441" spans="1:7" ht="15.75" thickTop="1" x14ac:dyDescent="0.25">
      <c r="A1441" s="24" t="s">
        <v>239</v>
      </c>
      <c r="B1441" s="44"/>
      <c r="C1441" s="45"/>
      <c r="D1441" s="25"/>
      <c r="E1441" s="261"/>
      <c r="F1441" s="168"/>
    </row>
    <row r="1442" spans="1:7" x14ac:dyDescent="0.2">
      <c r="A1442" s="27" t="s">
        <v>115</v>
      </c>
      <c r="B1442" s="44">
        <v>205360</v>
      </c>
      <c r="C1442" s="54">
        <v>0.06</v>
      </c>
      <c r="D1442" s="25" t="s">
        <v>86</v>
      </c>
      <c r="E1442" s="261">
        <v>0.03</v>
      </c>
      <c r="F1442" s="168">
        <f>+B1442*C1442*(1+E1442)</f>
        <v>12691.248000000001</v>
      </c>
    </row>
    <row r="1443" spans="1:7" x14ac:dyDescent="0.2">
      <c r="A1443" s="27" t="s">
        <v>211</v>
      </c>
      <c r="B1443" s="44">
        <v>13800</v>
      </c>
      <c r="C1443" s="54">
        <v>5.9999999999999995E-4</v>
      </c>
      <c r="D1443" s="25" t="s">
        <v>117</v>
      </c>
      <c r="E1443" s="261">
        <v>0.03</v>
      </c>
      <c r="F1443" s="168">
        <f>+B1443*C1443*(1+E1443)</f>
        <v>8.5283999999999995</v>
      </c>
    </row>
    <row r="1444" spans="1:7" ht="15" thickBot="1" x14ac:dyDescent="0.25">
      <c r="A1444" s="20"/>
      <c r="B1444" s="39"/>
      <c r="C1444" s="38"/>
      <c r="D1444" s="21"/>
      <c r="E1444" s="259"/>
      <c r="F1444" s="166"/>
      <c r="G1444" s="55">
        <f>SUM(F1442:F1443)</f>
        <v>12699.776400000001</v>
      </c>
    </row>
    <row r="1445" spans="1:7" ht="15" x14ac:dyDescent="0.25">
      <c r="A1445" s="28" t="s">
        <v>240</v>
      </c>
      <c r="B1445" s="49"/>
      <c r="C1445" s="50"/>
      <c r="D1445" s="29"/>
      <c r="E1445" s="262"/>
      <c r="F1445" s="164"/>
    </row>
    <row r="1446" spans="1:7" x14ac:dyDescent="0.2">
      <c r="A1446" s="27" t="s">
        <v>158</v>
      </c>
      <c r="B1446" s="83">
        <v>634.98882000000003</v>
      </c>
      <c r="C1446" s="45">
        <v>1</v>
      </c>
      <c r="D1446" s="25" t="s">
        <v>101</v>
      </c>
      <c r="E1446" s="261">
        <v>0</v>
      </c>
      <c r="F1446" s="168">
        <f>+B1446*C1446*(1+E1446)</f>
        <v>634.98882000000003</v>
      </c>
    </row>
    <row r="1447" spans="1:7" x14ac:dyDescent="0.2">
      <c r="A1447" s="27"/>
      <c r="B1447" s="44"/>
      <c r="C1447" s="45"/>
      <c r="D1447" s="25"/>
      <c r="E1447" s="261"/>
      <c r="F1447" s="168"/>
    </row>
    <row r="1448" spans="1:7" ht="15" thickBot="1" x14ac:dyDescent="0.25">
      <c r="A1448" s="20"/>
      <c r="B1448" s="39"/>
      <c r="C1448" s="38"/>
      <c r="D1448" s="21"/>
      <c r="E1448" s="259"/>
      <c r="F1448" s="166"/>
    </row>
    <row r="1449" spans="1:7" ht="15" x14ac:dyDescent="0.25">
      <c r="A1449" s="28" t="s">
        <v>116</v>
      </c>
      <c r="B1449" s="49"/>
      <c r="C1449" s="50"/>
      <c r="D1449" s="29"/>
      <c r="E1449" s="262"/>
      <c r="F1449" s="164"/>
    </row>
    <row r="1450" spans="1:7" x14ac:dyDescent="0.2">
      <c r="A1450" s="27" t="s">
        <v>92</v>
      </c>
      <c r="B1450" s="83">
        <v>380.993292</v>
      </c>
      <c r="C1450" s="45">
        <v>1</v>
      </c>
      <c r="D1450" s="25" t="s">
        <v>85</v>
      </c>
      <c r="E1450" s="261">
        <v>0</v>
      </c>
      <c r="F1450" s="168">
        <f>+B1450*C1450*(1+E1450)</f>
        <v>380.993292</v>
      </c>
    </row>
    <row r="1451" spans="1:7" ht="15" thickBot="1" x14ac:dyDescent="0.25">
      <c r="A1451" s="20"/>
      <c r="B1451" s="39"/>
      <c r="C1451" s="38"/>
      <c r="D1451" s="21"/>
      <c r="E1451" s="259"/>
      <c r="F1451" s="166"/>
    </row>
    <row r="1452" spans="1:7" ht="15" x14ac:dyDescent="0.25">
      <c r="A1452" s="24" t="s">
        <v>70</v>
      </c>
      <c r="B1452" s="44"/>
      <c r="C1452" s="45"/>
      <c r="D1452" s="25"/>
      <c r="E1452" s="261"/>
      <c r="F1452" s="168"/>
    </row>
    <row r="1453" spans="1:7" x14ac:dyDescent="0.2">
      <c r="A1453" s="27" t="s">
        <v>70</v>
      </c>
      <c r="B1453" s="44">
        <v>9198.3962499999998</v>
      </c>
      <c r="C1453" s="45">
        <v>1</v>
      </c>
      <c r="D1453" s="25" t="s">
        <v>83</v>
      </c>
      <c r="E1453" s="261">
        <v>0</v>
      </c>
      <c r="F1453" s="168">
        <f>+B1453*C1453*(1+E1453)</f>
        <v>9198.3962499999998</v>
      </c>
    </row>
    <row r="1454" spans="1:7" ht="15" thickBot="1" x14ac:dyDescent="0.25">
      <c r="A1454" s="27"/>
      <c r="B1454" s="44"/>
      <c r="C1454" s="45"/>
      <c r="D1454" s="25"/>
      <c r="E1454" s="261"/>
      <c r="F1454" s="168"/>
    </row>
    <row r="1455" spans="1:7" ht="15.75" thickBot="1" x14ac:dyDescent="0.3">
      <c r="A1455" s="30"/>
      <c r="B1455" s="52"/>
      <c r="C1455" s="53"/>
      <c r="D1455" s="31"/>
      <c r="E1455" s="263" t="s">
        <v>241</v>
      </c>
      <c r="F1455" s="169">
        <f>SUM(F1442:F1453)</f>
        <v>22914.154761999998</v>
      </c>
    </row>
    <row r="1457" spans="1:7" ht="15" thickBot="1" x14ac:dyDescent="0.25"/>
    <row r="1458" spans="1:7" x14ac:dyDescent="0.2">
      <c r="A1458" s="16" t="s">
        <v>26</v>
      </c>
      <c r="B1458" s="33"/>
      <c r="C1458" s="34"/>
      <c r="D1458" s="17"/>
      <c r="E1458" s="257"/>
      <c r="F1458" s="164"/>
    </row>
    <row r="1459" spans="1:7" ht="25.5" x14ac:dyDescent="0.2">
      <c r="A1459" s="90" t="s">
        <v>275</v>
      </c>
      <c r="B1459" s="91"/>
      <c r="C1459" s="92"/>
      <c r="D1459" s="19" t="s">
        <v>233</v>
      </c>
      <c r="E1459" s="258" t="s">
        <v>75</v>
      </c>
      <c r="F1459" s="165"/>
    </row>
    <row r="1460" spans="1:7" ht="15" thickBot="1" x14ac:dyDescent="0.25">
      <c r="A1460" s="20"/>
      <c r="B1460" s="37"/>
      <c r="C1460" s="38"/>
      <c r="D1460" s="21"/>
      <c r="E1460" s="259"/>
      <c r="F1460" s="166"/>
    </row>
    <row r="1461" spans="1:7" ht="15" thickBot="1" x14ac:dyDescent="0.25">
      <c r="A1461" s="22" t="s">
        <v>234</v>
      </c>
      <c r="B1461" s="41" t="s">
        <v>235</v>
      </c>
      <c r="C1461" s="42" t="s">
        <v>236</v>
      </c>
      <c r="D1461" s="23" t="s">
        <v>237</v>
      </c>
      <c r="E1461" s="260" t="s">
        <v>67</v>
      </c>
      <c r="F1461" s="167" t="s">
        <v>238</v>
      </c>
    </row>
    <row r="1462" spans="1:7" ht="15.75" thickTop="1" x14ac:dyDescent="0.25">
      <c r="A1462" s="24" t="s">
        <v>239</v>
      </c>
      <c r="B1462" s="44"/>
      <c r="C1462" s="45"/>
      <c r="D1462" s="25"/>
      <c r="E1462" s="261"/>
      <c r="F1462" s="168"/>
    </row>
    <row r="1463" spans="1:7" x14ac:dyDescent="0.2">
      <c r="A1463" s="27" t="s">
        <v>88</v>
      </c>
      <c r="B1463" s="44">
        <v>293837</v>
      </c>
      <c r="C1463" s="54">
        <v>0.15</v>
      </c>
      <c r="D1463" s="25" t="s">
        <v>86</v>
      </c>
      <c r="E1463" s="261">
        <v>0.05</v>
      </c>
      <c r="F1463" s="168">
        <f>+B1463*C1463*(1+E1463)</f>
        <v>46279.327499999999</v>
      </c>
    </row>
    <row r="1464" spans="1:7" ht="15" thickBot="1" x14ac:dyDescent="0.25">
      <c r="A1464" s="20"/>
      <c r="B1464" s="39"/>
      <c r="C1464" s="38"/>
      <c r="D1464" s="21"/>
      <c r="E1464" s="259"/>
      <c r="F1464" s="166"/>
      <c r="G1464" s="55">
        <f>SUM(F1463:F1463)</f>
        <v>46279.327499999999</v>
      </c>
    </row>
    <row r="1465" spans="1:7" ht="15" x14ac:dyDescent="0.25">
      <c r="A1465" s="28" t="s">
        <v>240</v>
      </c>
      <c r="B1465" s="49"/>
      <c r="C1465" s="50"/>
      <c r="D1465" s="29"/>
      <c r="E1465" s="262"/>
      <c r="F1465" s="164"/>
    </row>
    <row r="1466" spans="1:7" x14ac:dyDescent="0.2">
      <c r="A1466" s="27" t="s">
        <v>158</v>
      </c>
      <c r="B1466" s="83">
        <v>1845.466375</v>
      </c>
      <c r="C1466" s="45">
        <v>1</v>
      </c>
      <c r="D1466" s="25" t="s">
        <v>101</v>
      </c>
      <c r="E1466" s="261">
        <v>0</v>
      </c>
      <c r="F1466" s="168">
        <f>+B1466*C1466*(1+E1466)</f>
        <v>1845.466375</v>
      </c>
    </row>
    <row r="1467" spans="1:7" x14ac:dyDescent="0.2">
      <c r="A1467" s="27"/>
      <c r="B1467" s="44"/>
      <c r="C1467" s="45"/>
      <c r="D1467" s="25"/>
      <c r="E1467" s="261"/>
      <c r="F1467" s="168"/>
    </row>
    <row r="1468" spans="1:7" ht="15" thickBot="1" x14ac:dyDescent="0.25">
      <c r="A1468" s="20"/>
      <c r="B1468" s="39"/>
      <c r="C1468" s="38"/>
      <c r="D1468" s="21"/>
      <c r="E1468" s="259"/>
      <c r="F1468" s="166"/>
    </row>
    <row r="1469" spans="1:7" ht="15" x14ac:dyDescent="0.25">
      <c r="A1469" s="28" t="s">
        <v>116</v>
      </c>
      <c r="B1469" s="49"/>
      <c r="C1469" s="50"/>
      <c r="D1469" s="29"/>
      <c r="E1469" s="262"/>
      <c r="F1469" s="164"/>
    </row>
    <row r="1470" spans="1:7" x14ac:dyDescent="0.2">
      <c r="A1470" s="27" t="s">
        <v>92</v>
      </c>
      <c r="B1470" s="83">
        <v>1407.2798249999998</v>
      </c>
      <c r="C1470" s="45">
        <v>1</v>
      </c>
      <c r="D1470" s="25" t="s">
        <v>85</v>
      </c>
      <c r="E1470" s="261">
        <v>0</v>
      </c>
      <c r="F1470" s="168">
        <f>+B1470*C1470*(1+E1470)</f>
        <v>1407.2798249999998</v>
      </c>
    </row>
    <row r="1471" spans="1:7" ht="15" thickBot="1" x14ac:dyDescent="0.25">
      <c r="A1471" s="20"/>
      <c r="B1471" s="39"/>
      <c r="C1471" s="38"/>
      <c r="D1471" s="21"/>
      <c r="E1471" s="259"/>
      <c r="F1471" s="166"/>
    </row>
    <row r="1472" spans="1:7" ht="15" x14ac:dyDescent="0.25">
      <c r="A1472" s="24" t="s">
        <v>70</v>
      </c>
      <c r="B1472" s="44"/>
      <c r="C1472" s="45"/>
      <c r="D1472" s="25"/>
      <c r="E1472" s="261"/>
      <c r="F1472" s="168"/>
    </row>
    <row r="1473" spans="1:7" x14ac:dyDescent="0.2">
      <c r="A1473" s="27" t="s">
        <v>70</v>
      </c>
      <c r="B1473" s="44">
        <v>9199.98</v>
      </c>
      <c r="C1473" s="45">
        <v>2.8</v>
      </c>
      <c r="D1473" s="25" t="s">
        <v>83</v>
      </c>
      <c r="E1473" s="261">
        <v>0</v>
      </c>
      <c r="F1473" s="168">
        <f>+B1473*C1473*(1+E1473)</f>
        <v>25759.943999999996</v>
      </c>
    </row>
    <row r="1474" spans="1:7" ht="15" thickBot="1" x14ac:dyDescent="0.25">
      <c r="A1474" s="27"/>
      <c r="B1474" s="44"/>
      <c r="C1474" s="45"/>
      <c r="D1474" s="25"/>
      <c r="E1474" s="261"/>
      <c r="F1474" s="168"/>
    </row>
    <row r="1475" spans="1:7" ht="15.75" thickBot="1" x14ac:dyDescent="0.3">
      <c r="A1475" s="30"/>
      <c r="B1475" s="52"/>
      <c r="C1475" s="53"/>
      <c r="D1475" s="31"/>
      <c r="E1475" s="263" t="s">
        <v>241</v>
      </c>
      <c r="F1475" s="169">
        <f>SUM(F1463:F1473)</f>
        <v>75292.017699999997</v>
      </c>
    </row>
    <row r="1476" spans="1:7" ht="15" x14ac:dyDescent="0.25">
      <c r="A1476" s="26"/>
      <c r="B1476" s="44"/>
      <c r="C1476" s="45"/>
      <c r="D1476" s="25"/>
      <c r="E1476" s="271"/>
      <c r="F1476" s="176"/>
    </row>
    <row r="1477" spans="1:7" ht="15.75" thickBot="1" x14ac:dyDescent="0.3">
      <c r="A1477" s="26"/>
      <c r="B1477" s="44"/>
      <c r="C1477" s="45"/>
      <c r="D1477" s="25"/>
      <c r="E1477" s="271"/>
      <c r="F1477" s="176"/>
    </row>
    <row r="1478" spans="1:7" x14ac:dyDescent="0.2">
      <c r="A1478" s="16" t="s">
        <v>26</v>
      </c>
      <c r="B1478" s="33"/>
      <c r="C1478" s="34"/>
      <c r="D1478" s="17"/>
      <c r="E1478" s="257"/>
      <c r="F1478" s="164"/>
    </row>
    <row r="1479" spans="1:7" ht="25.5" x14ac:dyDescent="0.2">
      <c r="A1479" s="90" t="s">
        <v>392</v>
      </c>
      <c r="B1479" s="91"/>
      <c r="C1479" s="92"/>
      <c r="D1479" s="19" t="s">
        <v>233</v>
      </c>
      <c r="E1479" s="258" t="s">
        <v>75</v>
      </c>
      <c r="F1479" s="165"/>
    </row>
    <row r="1480" spans="1:7" ht="15" thickBot="1" x14ac:dyDescent="0.25">
      <c r="A1480" s="20"/>
      <c r="B1480" s="37"/>
      <c r="C1480" s="38"/>
      <c r="D1480" s="21"/>
      <c r="E1480" s="259"/>
      <c r="F1480" s="166"/>
    </row>
    <row r="1481" spans="1:7" ht="15" thickBot="1" x14ac:dyDescent="0.25">
      <c r="A1481" s="22" t="s">
        <v>234</v>
      </c>
      <c r="B1481" s="41" t="s">
        <v>235</v>
      </c>
      <c r="C1481" s="42" t="s">
        <v>236</v>
      </c>
      <c r="D1481" s="23" t="s">
        <v>237</v>
      </c>
      <c r="E1481" s="260" t="s">
        <v>67</v>
      </c>
      <c r="F1481" s="167" t="s">
        <v>238</v>
      </c>
    </row>
    <row r="1482" spans="1:7" ht="15.75" thickTop="1" x14ac:dyDescent="0.25">
      <c r="A1482" s="24" t="s">
        <v>239</v>
      </c>
      <c r="B1482" s="44"/>
      <c r="C1482" s="45"/>
      <c r="D1482" s="25"/>
      <c r="E1482" s="261"/>
      <c r="F1482" s="168"/>
    </row>
    <row r="1483" spans="1:7" x14ac:dyDescent="0.2">
      <c r="A1483" s="27" t="s">
        <v>223</v>
      </c>
      <c r="B1483" s="44">
        <v>35400</v>
      </c>
      <c r="C1483" s="45">
        <v>0.1111111111111111</v>
      </c>
      <c r="D1483" s="25" t="s">
        <v>224</v>
      </c>
      <c r="E1483" s="261">
        <v>0.03</v>
      </c>
      <c r="F1483" s="168">
        <f>+B1483*C1483*(1+E1483)</f>
        <v>4051.333333333333</v>
      </c>
    </row>
    <row r="1484" spans="1:7" x14ac:dyDescent="0.2">
      <c r="A1484" s="27" t="s">
        <v>72</v>
      </c>
      <c r="B1484" s="44">
        <v>44000</v>
      </c>
      <c r="C1484" s="45">
        <v>0.01</v>
      </c>
      <c r="D1484" s="25" t="s">
        <v>111</v>
      </c>
      <c r="E1484" s="261">
        <v>0.03</v>
      </c>
      <c r="F1484" s="168">
        <f>+B1484*C1484*(1+E1484)</f>
        <v>453.2</v>
      </c>
    </row>
    <row r="1485" spans="1:7" x14ac:dyDescent="0.2">
      <c r="A1485" s="27" t="s">
        <v>222</v>
      </c>
      <c r="B1485" s="44">
        <v>35000</v>
      </c>
      <c r="C1485" s="45">
        <v>1</v>
      </c>
      <c r="D1485" s="25" t="s">
        <v>85</v>
      </c>
      <c r="E1485" s="261">
        <v>0.05</v>
      </c>
      <c r="F1485" s="168">
        <f>+B1485*C1485*(1+E1485)</f>
        <v>36750</v>
      </c>
    </row>
    <row r="1486" spans="1:7" ht="15" thickBot="1" x14ac:dyDescent="0.25">
      <c r="A1486" s="20"/>
      <c r="B1486" s="39"/>
      <c r="C1486" s="38"/>
      <c r="D1486" s="21"/>
      <c r="E1486" s="259"/>
      <c r="F1486" s="166"/>
      <c r="G1486" s="15">
        <f>SUM(F1483:F1485)</f>
        <v>41254.533333333333</v>
      </c>
    </row>
    <row r="1487" spans="1:7" ht="15" x14ac:dyDescent="0.25">
      <c r="A1487" s="28" t="s">
        <v>240</v>
      </c>
      <c r="B1487" s="49"/>
      <c r="C1487" s="50"/>
      <c r="D1487" s="29"/>
      <c r="E1487" s="262"/>
      <c r="F1487" s="164"/>
    </row>
    <row r="1488" spans="1:7" x14ac:dyDescent="0.2">
      <c r="A1488" s="27" t="s">
        <v>158</v>
      </c>
      <c r="B1488" s="83">
        <v>2062.7266666666669</v>
      </c>
      <c r="C1488" s="45">
        <v>1</v>
      </c>
      <c r="D1488" s="25" t="s">
        <v>101</v>
      </c>
      <c r="E1488" s="261">
        <v>0</v>
      </c>
      <c r="F1488" s="168">
        <f>+B1488*C1488*(1+E1488)</f>
        <v>2062.7266666666669</v>
      </c>
    </row>
    <row r="1489" spans="1:6" x14ac:dyDescent="0.2">
      <c r="A1489" s="27"/>
      <c r="B1489" s="44"/>
      <c r="C1489" s="45"/>
      <c r="D1489" s="25"/>
      <c r="E1489" s="261"/>
      <c r="F1489" s="168"/>
    </row>
    <row r="1490" spans="1:6" ht="15" thickBot="1" x14ac:dyDescent="0.25">
      <c r="A1490" s="20"/>
      <c r="B1490" s="39"/>
      <c r="C1490" s="38"/>
      <c r="D1490" s="21"/>
      <c r="E1490" s="259"/>
      <c r="F1490" s="166"/>
    </row>
    <row r="1491" spans="1:6" ht="15" x14ac:dyDescent="0.25">
      <c r="A1491" s="28" t="s">
        <v>116</v>
      </c>
      <c r="B1491" s="49"/>
      <c r="C1491" s="50"/>
      <c r="D1491" s="29"/>
      <c r="E1491" s="262"/>
      <c r="F1491" s="164"/>
    </row>
    <row r="1492" spans="1:6" x14ac:dyDescent="0.2">
      <c r="A1492" s="27" t="s">
        <v>92</v>
      </c>
      <c r="B1492" s="83">
        <v>1237.636</v>
      </c>
      <c r="C1492" s="45">
        <v>1</v>
      </c>
      <c r="D1492" s="25" t="s">
        <v>85</v>
      </c>
      <c r="E1492" s="261">
        <v>0</v>
      </c>
      <c r="F1492" s="168">
        <f>+B1492*C1492*(1+E1492)</f>
        <v>1237.636</v>
      </c>
    </row>
    <row r="1493" spans="1:6" ht="15" thickBot="1" x14ac:dyDescent="0.25">
      <c r="A1493" s="20"/>
      <c r="B1493" s="39"/>
      <c r="C1493" s="38"/>
      <c r="D1493" s="21"/>
      <c r="E1493" s="259"/>
      <c r="F1493" s="166"/>
    </row>
    <row r="1494" spans="1:6" ht="15" x14ac:dyDescent="0.25">
      <c r="A1494" s="24" t="s">
        <v>70</v>
      </c>
      <c r="B1494" s="44"/>
      <c r="C1494" s="45"/>
      <c r="D1494" s="25"/>
      <c r="E1494" s="261"/>
      <c r="F1494" s="168"/>
    </row>
    <row r="1495" spans="1:6" x14ac:dyDescent="0.2">
      <c r="A1495" s="27" t="s">
        <v>70</v>
      </c>
      <c r="B1495" s="44">
        <v>9198.3962499999998</v>
      </c>
      <c r="C1495" s="45">
        <v>1.4</v>
      </c>
      <c r="D1495" s="25" t="s">
        <v>213</v>
      </c>
      <c r="E1495" s="261">
        <v>0</v>
      </c>
      <c r="F1495" s="168">
        <f>+B1495*C1495*(1+E1495)</f>
        <v>12877.754749999998</v>
      </c>
    </row>
    <row r="1496" spans="1:6" ht="15" thickBot="1" x14ac:dyDescent="0.25">
      <c r="A1496" s="27"/>
      <c r="B1496" s="44"/>
      <c r="C1496" s="45"/>
      <c r="D1496" s="25"/>
      <c r="E1496" s="261"/>
      <c r="F1496" s="168"/>
    </row>
    <row r="1497" spans="1:6" ht="15.75" thickBot="1" x14ac:dyDescent="0.3">
      <c r="A1497" s="30"/>
      <c r="B1497" s="52"/>
      <c r="C1497" s="53"/>
      <c r="D1497" s="31"/>
      <c r="E1497" s="263" t="s">
        <v>241</v>
      </c>
      <c r="F1497" s="169">
        <f>SUM(F1483:F1495)</f>
        <v>57432.650750000001</v>
      </c>
    </row>
    <row r="1499" spans="1:6" ht="15" thickBot="1" x14ac:dyDescent="0.25"/>
    <row r="1500" spans="1:6" x14ac:dyDescent="0.2">
      <c r="A1500" s="16" t="s">
        <v>27</v>
      </c>
      <c r="B1500" s="33"/>
      <c r="C1500" s="34"/>
      <c r="D1500" s="17"/>
      <c r="E1500" s="257"/>
      <c r="F1500" s="164"/>
    </row>
    <row r="1501" spans="1:6" ht="25.5" x14ac:dyDescent="0.2">
      <c r="A1501" s="90" t="s">
        <v>276</v>
      </c>
      <c r="B1501" s="91"/>
      <c r="C1501" s="92"/>
      <c r="D1501" s="91" t="s">
        <v>233</v>
      </c>
      <c r="E1501" s="258" t="s">
        <v>2</v>
      </c>
      <c r="F1501" s="165"/>
    </row>
    <row r="1502" spans="1:6" ht="15" thickBot="1" x14ac:dyDescent="0.25">
      <c r="A1502" s="20"/>
      <c r="B1502" s="37"/>
      <c r="C1502" s="38"/>
      <c r="D1502" s="21"/>
      <c r="E1502" s="259"/>
      <c r="F1502" s="166"/>
    </row>
    <row r="1503" spans="1:6" ht="15" thickBot="1" x14ac:dyDescent="0.25">
      <c r="A1503" s="22" t="s">
        <v>234</v>
      </c>
      <c r="B1503" s="41" t="s">
        <v>235</v>
      </c>
      <c r="C1503" s="42" t="s">
        <v>236</v>
      </c>
      <c r="D1503" s="23" t="s">
        <v>237</v>
      </c>
      <c r="E1503" s="260" t="s">
        <v>67</v>
      </c>
      <c r="F1503" s="167" t="s">
        <v>238</v>
      </c>
    </row>
    <row r="1504" spans="1:6" ht="15.75" thickTop="1" x14ac:dyDescent="0.25">
      <c r="A1504" s="24" t="s">
        <v>239</v>
      </c>
      <c r="B1504" s="44"/>
      <c r="C1504" s="45"/>
      <c r="D1504" s="25"/>
      <c r="E1504" s="261"/>
      <c r="F1504" s="168"/>
    </row>
    <row r="1505" spans="1:7" x14ac:dyDescent="0.2">
      <c r="A1505" s="27" t="s">
        <v>212</v>
      </c>
      <c r="B1505" s="44">
        <v>285000</v>
      </c>
      <c r="C1505" s="54">
        <v>1</v>
      </c>
      <c r="D1505" s="25" t="s">
        <v>101</v>
      </c>
      <c r="E1505" s="261">
        <v>0</v>
      </c>
      <c r="F1505" s="168">
        <f>+B1505*C1505*(1+E1505)</f>
        <v>285000</v>
      </c>
    </row>
    <row r="1506" spans="1:7" x14ac:dyDescent="0.2">
      <c r="A1506" s="27" t="s">
        <v>216</v>
      </c>
      <c r="B1506" s="44">
        <v>12500</v>
      </c>
      <c r="C1506" s="54">
        <v>1</v>
      </c>
      <c r="D1506" s="25" t="s">
        <v>101</v>
      </c>
      <c r="E1506" s="261">
        <v>0</v>
      </c>
      <c r="F1506" s="168">
        <f>+B1506*C1506*(1+E1506)</f>
        <v>12500</v>
      </c>
    </row>
    <row r="1507" spans="1:7" ht="15" thickBot="1" x14ac:dyDescent="0.25">
      <c r="A1507" s="20"/>
      <c r="B1507" s="39"/>
      <c r="C1507" s="38"/>
      <c r="D1507" s="21"/>
      <c r="E1507" s="259"/>
      <c r="F1507" s="166"/>
      <c r="G1507" s="55">
        <f>SUM(F1505:F1506)</f>
        <v>297500</v>
      </c>
    </row>
    <row r="1508" spans="1:7" ht="15" x14ac:dyDescent="0.25">
      <c r="A1508" s="28" t="s">
        <v>240</v>
      </c>
      <c r="B1508" s="49"/>
      <c r="C1508" s="50"/>
      <c r="D1508" s="29"/>
      <c r="E1508" s="262"/>
      <c r="F1508" s="164"/>
    </row>
    <row r="1509" spans="1:7" x14ac:dyDescent="0.2">
      <c r="A1509" s="27" t="s">
        <v>158</v>
      </c>
      <c r="B1509" s="83">
        <v>14875</v>
      </c>
      <c r="C1509" s="45">
        <v>1</v>
      </c>
      <c r="D1509" s="25" t="s">
        <v>101</v>
      </c>
      <c r="E1509" s="261">
        <v>0</v>
      </c>
      <c r="F1509" s="168">
        <f>+B1509*C1509*(1+E1509)</f>
        <v>14875</v>
      </c>
    </row>
    <row r="1510" spans="1:7" x14ac:dyDescent="0.2">
      <c r="A1510" s="27"/>
      <c r="B1510" s="44"/>
      <c r="C1510" s="45"/>
      <c r="D1510" s="25"/>
      <c r="E1510" s="261"/>
      <c r="F1510" s="168"/>
    </row>
    <row r="1511" spans="1:7" ht="15" thickBot="1" x14ac:dyDescent="0.25">
      <c r="A1511" s="20"/>
      <c r="B1511" s="39"/>
      <c r="C1511" s="38"/>
      <c r="D1511" s="21"/>
      <c r="E1511" s="259"/>
      <c r="F1511" s="166"/>
    </row>
    <row r="1512" spans="1:7" ht="15" x14ac:dyDescent="0.25">
      <c r="A1512" s="28" t="s">
        <v>116</v>
      </c>
      <c r="B1512" s="49"/>
      <c r="C1512" s="50"/>
      <c r="D1512" s="29"/>
      <c r="E1512" s="262"/>
      <c r="F1512" s="164"/>
    </row>
    <row r="1513" spans="1:7" x14ac:dyDescent="0.2">
      <c r="A1513" s="27" t="s">
        <v>92</v>
      </c>
      <c r="B1513" s="83">
        <v>8925</v>
      </c>
      <c r="C1513" s="45">
        <v>1</v>
      </c>
      <c r="D1513" s="25" t="s">
        <v>85</v>
      </c>
      <c r="E1513" s="261">
        <v>0</v>
      </c>
      <c r="F1513" s="168">
        <f>+B1513*C1513*(1+E1513)</f>
        <v>8925</v>
      </c>
    </row>
    <row r="1514" spans="1:7" ht="15" thickBot="1" x14ac:dyDescent="0.25">
      <c r="A1514" s="20"/>
      <c r="B1514" s="39"/>
      <c r="C1514" s="38"/>
      <c r="D1514" s="21"/>
      <c r="E1514" s="259"/>
      <c r="F1514" s="166"/>
    </row>
    <row r="1515" spans="1:7" ht="15" x14ac:dyDescent="0.25">
      <c r="A1515" s="24" t="s">
        <v>70</v>
      </c>
      <c r="B1515" s="44"/>
      <c r="C1515" s="45"/>
      <c r="D1515" s="25"/>
      <c r="E1515" s="261"/>
      <c r="F1515" s="168"/>
    </row>
    <row r="1516" spans="1:7" x14ac:dyDescent="0.2">
      <c r="A1516" s="27" t="s">
        <v>70</v>
      </c>
      <c r="B1516" s="44">
        <v>9198.3962499999998</v>
      </c>
      <c r="C1516" s="45">
        <v>2.8</v>
      </c>
      <c r="D1516" s="25" t="s">
        <v>213</v>
      </c>
      <c r="E1516" s="261">
        <v>0</v>
      </c>
      <c r="F1516" s="168">
        <f>+B1516*C1516*(1+E1516)</f>
        <v>25755.509499999996</v>
      </c>
    </row>
    <row r="1517" spans="1:7" ht="15" thickBot="1" x14ac:dyDescent="0.25">
      <c r="A1517" s="27"/>
      <c r="B1517" s="44"/>
      <c r="C1517" s="45"/>
      <c r="D1517" s="25"/>
      <c r="E1517" s="261"/>
      <c r="F1517" s="168"/>
    </row>
    <row r="1518" spans="1:7" ht="15.75" thickBot="1" x14ac:dyDescent="0.3">
      <c r="A1518" s="30"/>
      <c r="B1518" s="52"/>
      <c r="C1518" s="53"/>
      <c r="D1518" s="31"/>
      <c r="E1518" s="263" t="s">
        <v>241</v>
      </c>
      <c r="F1518" s="169">
        <f>SUM(F1505:F1516)</f>
        <v>347055.50949999999</v>
      </c>
    </row>
    <row r="1520" spans="1:7" ht="15" thickBot="1" x14ac:dyDescent="0.25"/>
    <row r="1521" spans="1:7" x14ac:dyDescent="0.2">
      <c r="A1521" s="16" t="s">
        <v>27</v>
      </c>
      <c r="B1521" s="33"/>
      <c r="C1521" s="34"/>
      <c r="D1521" s="17"/>
      <c r="E1521" s="257"/>
      <c r="F1521" s="164"/>
    </row>
    <row r="1522" spans="1:7" ht="25.5" x14ac:dyDescent="0.2">
      <c r="A1522" s="90" t="s">
        <v>277</v>
      </c>
      <c r="B1522" s="91"/>
      <c r="C1522" s="92"/>
      <c r="D1522" s="91" t="s">
        <v>233</v>
      </c>
      <c r="E1522" s="258" t="s">
        <v>2</v>
      </c>
      <c r="F1522" s="165"/>
    </row>
    <row r="1523" spans="1:7" ht="15" thickBot="1" x14ac:dyDescent="0.25">
      <c r="A1523" s="20"/>
      <c r="B1523" s="37"/>
      <c r="C1523" s="38"/>
      <c r="D1523" s="21"/>
      <c r="E1523" s="259"/>
      <c r="F1523" s="166"/>
    </row>
    <row r="1524" spans="1:7" ht="15" thickBot="1" x14ac:dyDescent="0.25">
      <c r="A1524" s="22" t="s">
        <v>234</v>
      </c>
      <c r="B1524" s="41" t="s">
        <v>235</v>
      </c>
      <c r="C1524" s="42" t="s">
        <v>236</v>
      </c>
      <c r="D1524" s="23" t="s">
        <v>237</v>
      </c>
      <c r="E1524" s="260" t="s">
        <v>67</v>
      </c>
      <c r="F1524" s="167" t="s">
        <v>238</v>
      </c>
    </row>
    <row r="1525" spans="1:7" ht="15.75" thickTop="1" x14ac:dyDescent="0.25">
      <c r="A1525" s="24" t="s">
        <v>239</v>
      </c>
      <c r="B1525" s="44"/>
      <c r="C1525" s="45"/>
      <c r="D1525" s="25"/>
      <c r="E1525" s="261"/>
      <c r="F1525" s="168"/>
    </row>
    <row r="1526" spans="1:7" x14ac:dyDescent="0.2">
      <c r="A1526" s="27" t="s">
        <v>214</v>
      </c>
      <c r="B1526" s="44">
        <v>280500</v>
      </c>
      <c r="C1526" s="54">
        <v>1</v>
      </c>
      <c r="D1526" s="25" t="s">
        <v>101</v>
      </c>
      <c r="E1526" s="261">
        <v>0</v>
      </c>
      <c r="F1526" s="168">
        <f>+B1526*C1526*(1+E1526)</f>
        <v>280500</v>
      </c>
    </row>
    <row r="1527" spans="1:7" x14ac:dyDescent="0.2">
      <c r="A1527" s="27" t="s">
        <v>215</v>
      </c>
      <c r="B1527" s="44">
        <v>250000</v>
      </c>
      <c r="C1527" s="54">
        <v>1</v>
      </c>
      <c r="D1527" s="25" t="s">
        <v>101</v>
      </c>
      <c r="E1527" s="261">
        <v>0</v>
      </c>
      <c r="F1527" s="168">
        <f>+B1527*C1527*(1+E1527)</f>
        <v>250000</v>
      </c>
    </row>
    <row r="1528" spans="1:7" ht="15" thickBot="1" x14ac:dyDescent="0.25">
      <c r="A1528" s="20"/>
      <c r="B1528" s="39"/>
      <c r="C1528" s="38"/>
      <c r="D1528" s="21"/>
      <c r="E1528" s="259"/>
      <c r="F1528" s="166"/>
      <c r="G1528" s="55">
        <f>SUM(F1526:F1527)</f>
        <v>530500</v>
      </c>
    </row>
    <row r="1529" spans="1:7" ht="15" x14ac:dyDescent="0.25">
      <c r="A1529" s="28" t="s">
        <v>240</v>
      </c>
      <c r="B1529" s="49"/>
      <c r="C1529" s="50"/>
      <c r="D1529" s="29"/>
      <c r="E1529" s="262"/>
      <c r="F1529" s="164"/>
    </row>
    <row r="1530" spans="1:7" x14ac:dyDescent="0.2">
      <c r="A1530" s="27" t="s">
        <v>158</v>
      </c>
      <c r="B1530" s="83">
        <v>41575</v>
      </c>
      <c r="C1530" s="45">
        <v>1</v>
      </c>
      <c r="D1530" s="25" t="s">
        <v>101</v>
      </c>
      <c r="E1530" s="261">
        <v>0</v>
      </c>
      <c r="F1530" s="168">
        <f>+B1530*C1530*(1+E1530)</f>
        <v>41575</v>
      </c>
    </row>
    <row r="1531" spans="1:7" x14ac:dyDescent="0.2">
      <c r="A1531" s="27"/>
      <c r="B1531" s="44"/>
      <c r="C1531" s="45"/>
      <c r="D1531" s="25"/>
      <c r="E1531" s="261"/>
      <c r="F1531" s="168"/>
    </row>
    <row r="1532" spans="1:7" ht="15" thickBot="1" x14ac:dyDescent="0.25">
      <c r="A1532" s="20"/>
      <c r="B1532" s="39"/>
      <c r="C1532" s="38"/>
      <c r="D1532" s="21"/>
      <c r="E1532" s="259"/>
      <c r="F1532" s="166"/>
    </row>
    <row r="1533" spans="1:7" ht="15" x14ac:dyDescent="0.25">
      <c r="A1533" s="28" t="s">
        <v>116</v>
      </c>
      <c r="B1533" s="49"/>
      <c r="C1533" s="50"/>
      <c r="D1533" s="29"/>
      <c r="E1533" s="262"/>
      <c r="F1533" s="164"/>
    </row>
    <row r="1534" spans="1:7" x14ac:dyDescent="0.2">
      <c r="A1534" s="27" t="s">
        <v>92</v>
      </c>
      <c r="B1534" s="83">
        <v>24945</v>
      </c>
      <c r="C1534" s="45">
        <v>1</v>
      </c>
      <c r="D1534" s="25" t="s">
        <v>85</v>
      </c>
      <c r="E1534" s="261">
        <v>0</v>
      </c>
      <c r="F1534" s="168">
        <f>+B1534*C1534*(1+E1534)</f>
        <v>24945</v>
      </c>
    </row>
    <row r="1535" spans="1:7" ht="15" thickBot="1" x14ac:dyDescent="0.25">
      <c r="A1535" s="20"/>
      <c r="B1535" s="39"/>
      <c r="C1535" s="38"/>
      <c r="D1535" s="21"/>
      <c r="E1535" s="259"/>
      <c r="F1535" s="166"/>
    </row>
    <row r="1536" spans="1:7" ht="15" x14ac:dyDescent="0.25">
      <c r="A1536" s="24" t="s">
        <v>70</v>
      </c>
      <c r="B1536" s="44"/>
      <c r="C1536" s="45"/>
      <c r="D1536" s="25"/>
      <c r="E1536" s="261"/>
      <c r="F1536" s="168"/>
    </row>
    <row r="1537" spans="1:7" x14ac:dyDescent="0.2">
      <c r="A1537" s="27" t="s">
        <v>70</v>
      </c>
      <c r="B1537" s="44">
        <v>9198.3962499999998</v>
      </c>
      <c r="C1537" s="45">
        <v>2.8</v>
      </c>
      <c r="D1537" s="25" t="s">
        <v>213</v>
      </c>
      <c r="E1537" s="261">
        <v>0</v>
      </c>
      <c r="F1537" s="168">
        <f>+B1537*C1537*(1+E1537)</f>
        <v>25755.509499999996</v>
      </c>
    </row>
    <row r="1538" spans="1:7" ht="15" thickBot="1" x14ac:dyDescent="0.25">
      <c r="A1538" s="27"/>
      <c r="B1538" s="44"/>
      <c r="C1538" s="45"/>
      <c r="D1538" s="25"/>
      <c r="E1538" s="261"/>
      <c r="F1538" s="168"/>
    </row>
    <row r="1539" spans="1:7" ht="15.75" thickBot="1" x14ac:dyDescent="0.3">
      <c r="A1539" s="30"/>
      <c r="B1539" s="52"/>
      <c r="C1539" s="53"/>
      <c r="D1539" s="31"/>
      <c r="E1539" s="263" t="s">
        <v>241</v>
      </c>
      <c r="F1539" s="169">
        <f>SUM(F1526:F1537)</f>
        <v>622775.50950000004</v>
      </c>
    </row>
    <row r="1541" spans="1:7" ht="15" thickBot="1" x14ac:dyDescent="0.25"/>
    <row r="1542" spans="1:7" x14ac:dyDescent="0.2">
      <c r="A1542" s="16" t="s">
        <v>27</v>
      </c>
      <c r="B1542" s="33"/>
      <c r="C1542" s="34"/>
      <c r="D1542" s="17"/>
      <c r="E1542" s="257"/>
      <c r="F1542" s="164"/>
    </row>
    <row r="1543" spans="1:7" ht="25.5" x14ac:dyDescent="0.2">
      <c r="A1543" s="90" t="s">
        <v>278</v>
      </c>
      <c r="B1543" s="91"/>
      <c r="C1543" s="92"/>
      <c r="D1543" s="91" t="s">
        <v>233</v>
      </c>
      <c r="E1543" s="258" t="s">
        <v>2</v>
      </c>
      <c r="F1543" s="165"/>
    </row>
    <row r="1544" spans="1:7" ht="15" thickBot="1" x14ac:dyDescent="0.25">
      <c r="A1544" s="20"/>
      <c r="B1544" s="37"/>
      <c r="C1544" s="38"/>
      <c r="D1544" s="21"/>
      <c r="E1544" s="259"/>
      <c r="F1544" s="166"/>
    </row>
    <row r="1545" spans="1:7" ht="15" thickBot="1" x14ac:dyDescent="0.25">
      <c r="A1545" s="22" t="s">
        <v>234</v>
      </c>
      <c r="B1545" s="41" t="s">
        <v>235</v>
      </c>
      <c r="C1545" s="42" t="s">
        <v>236</v>
      </c>
      <c r="D1545" s="23" t="s">
        <v>237</v>
      </c>
      <c r="E1545" s="260" t="s">
        <v>67</v>
      </c>
      <c r="F1545" s="167" t="s">
        <v>238</v>
      </c>
    </row>
    <row r="1546" spans="1:7" ht="15.75" thickTop="1" x14ac:dyDescent="0.25">
      <c r="A1546" s="24" t="s">
        <v>239</v>
      </c>
      <c r="B1546" s="44"/>
      <c r="C1546" s="45"/>
      <c r="D1546" s="25"/>
      <c r="E1546" s="261"/>
      <c r="F1546" s="168"/>
    </row>
    <row r="1547" spans="1:7" x14ac:dyDescent="0.2">
      <c r="A1547" s="27" t="s">
        <v>217</v>
      </c>
      <c r="B1547" s="44">
        <f>112900*1.19</f>
        <v>134351</v>
      </c>
      <c r="C1547" s="54">
        <v>1</v>
      </c>
      <c r="D1547" s="25" t="s">
        <v>101</v>
      </c>
      <c r="E1547" s="261">
        <v>0</v>
      </c>
      <c r="F1547" s="168">
        <f>+B1547*C1547*(1+E1547)</f>
        <v>134351</v>
      </c>
    </row>
    <row r="1548" spans="1:7" x14ac:dyDescent="0.2">
      <c r="A1548" s="27" t="s">
        <v>216</v>
      </c>
      <c r="B1548" s="44">
        <v>12500</v>
      </c>
      <c r="C1548" s="54">
        <v>1</v>
      </c>
      <c r="D1548" s="25" t="s">
        <v>101</v>
      </c>
      <c r="E1548" s="261">
        <v>0</v>
      </c>
      <c r="F1548" s="168">
        <f>+B1548*C1548*(1+E1548)</f>
        <v>12500</v>
      </c>
    </row>
    <row r="1549" spans="1:7" ht="15" thickBot="1" x14ac:dyDescent="0.25">
      <c r="A1549" s="20"/>
      <c r="B1549" s="39"/>
      <c r="C1549" s="38"/>
      <c r="D1549" s="21"/>
      <c r="E1549" s="259"/>
      <c r="F1549" s="166"/>
      <c r="G1549" s="55">
        <f>SUM(F1547:F1548)</f>
        <v>146851</v>
      </c>
    </row>
    <row r="1550" spans="1:7" ht="15" x14ac:dyDescent="0.25">
      <c r="A1550" s="28" t="s">
        <v>240</v>
      </c>
      <c r="B1550" s="49"/>
      <c r="C1550" s="50"/>
      <c r="D1550" s="29"/>
      <c r="E1550" s="262"/>
      <c r="F1550" s="164"/>
    </row>
    <row r="1551" spans="1:7" x14ac:dyDescent="0.2">
      <c r="A1551" s="27" t="s">
        <v>158</v>
      </c>
      <c r="B1551" s="83">
        <v>7342.55</v>
      </c>
      <c r="C1551" s="45">
        <v>1</v>
      </c>
      <c r="D1551" s="25" t="s">
        <v>101</v>
      </c>
      <c r="E1551" s="261">
        <v>0</v>
      </c>
      <c r="F1551" s="168">
        <f>+B1551*C1551*(1+E1551)</f>
        <v>7342.55</v>
      </c>
    </row>
    <row r="1552" spans="1:7" x14ac:dyDescent="0.2">
      <c r="A1552" s="27"/>
      <c r="B1552" s="44"/>
      <c r="C1552" s="45"/>
      <c r="D1552" s="25"/>
      <c r="E1552" s="261"/>
      <c r="F1552" s="168"/>
    </row>
    <row r="1553" spans="1:6" ht="15" thickBot="1" x14ac:dyDescent="0.25">
      <c r="A1553" s="20"/>
      <c r="B1553" s="39"/>
      <c r="C1553" s="38"/>
      <c r="D1553" s="21"/>
      <c r="E1553" s="259"/>
      <c r="F1553" s="166"/>
    </row>
    <row r="1554" spans="1:6" ht="15" x14ac:dyDescent="0.25">
      <c r="A1554" s="28" t="s">
        <v>116</v>
      </c>
      <c r="B1554" s="49"/>
      <c r="C1554" s="50"/>
      <c r="D1554" s="29"/>
      <c r="E1554" s="262"/>
      <c r="F1554" s="164"/>
    </row>
    <row r="1555" spans="1:6" x14ac:dyDescent="0.2">
      <c r="A1555" s="27" t="s">
        <v>92</v>
      </c>
      <c r="B1555" s="83">
        <v>4405.53</v>
      </c>
      <c r="C1555" s="45">
        <v>1</v>
      </c>
      <c r="D1555" s="25" t="s">
        <v>85</v>
      </c>
      <c r="E1555" s="261">
        <v>0</v>
      </c>
      <c r="F1555" s="168">
        <f>+B1555*C1555*(1+E1555)</f>
        <v>4405.53</v>
      </c>
    </row>
    <row r="1556" spans="1:6" ht="15" thickBot="1" x14ac:dyDescent="0.25">
      <c r="A1556" s="20"/>
      <c r="B1556" s="39"/>
      <c r="C1556" s="38"/>
      <c r="D1556" s="21"/>
      <c r="E1556" s="259"/>
      <c r="F1556" s="166"/>
    </row>
    <row r="1557" spans="1:6" ht="15" x14ac:dyDescent="0.25">
      <c r="A1557" s="24" t="s">
        <v>70</v>
      </c>
      <c r="B1557" s="44"/>
      <c r="C1557" s="45"/>
      <c r="D1557" s="25"/>
      <c r="E1557" s="261"/>
      <c r="F1557" s="168"/>
    </row>
    <row r="1558" spans="1:6" x14ac:dyDescent="0.2">
      <c r="A1558" s="27" t="s">
        <v>70</v>
      </c>
      <c r="B1558" s="44">
        <v>9198.3962499999998</v>
      </c>
      <c r="C1558" s="45">
        <v>2.8</v>
      </c>
      <c r="D1558" s="25" t="s">
        <v>213</v>
      </c>
      <c r="E1558" s="261">
        <v>0</v>
      </c>
      <c r="F1558" s="168">
        <f>+B1558*C1558*(1+E1558)</f>
        <v>25755.509499999996</v>
      </c>
    </row>
    <row r="1559" spans="1:6" ht="15" thickBot="1" x14ac:dyDescent="0.25">
      <c r="A1559" s="27"/>
      <c r="B1559" s="44"/>
      <c r="C1559" s="45"/>
      <c r="D1559" s="25"/>
      <c r="E1559" s="261"/>
      <c r="F1559" s="168"/>
    </row>
    <row r="1560" spans="1:6" ht="15.75" thickBot="1" x14ac:dyDescent="0.3">
      <c r="A1560" s="30"/>
      <c r="B1560" s="52"/>
      <c r="C1560" s="53"/>
      <c r="D1560" s="31"/>
      <c r="E1560" s="263" t="s">
        <v>241</v>
      </c>
      <c r="F1560" s="169">
        <f>SUM(F1547:F1558)</f>
        <v>184354.58949999997</v>
      </c>
    </row>
    <row r="1562" spans="1:6" ht="15" thickBot="1" x14ac:dyDescent="0.25"/>
    <row r="1563" spans="1:6" x14ac:dyDescent="0.2">
      <c r="A1563" s="16" t="s">
        <v>27</v>
      </c>
      <c r="B1563" s="33"/>
      <c r="C1563" s="34"/>
      <c r="D1563" s="17"/>
      <c r="E1563" s="257"/>
      <c r="F1563" s="164"/>
    </row>
    <row r="1564" spans="1:6" ht="25.5" x14ac:dyDescent="0.2">
      <c r="A1564" s="90" t="s">
        <v>279</v>
      </c>
      <c r="B1564" s="91"/>
      <c r="C1564" s="92"/>
      <c r="D1564" s="91" t="s">
        <v>233</v>
      </c>
      <c r="E1564" s="258" t="s">
        <v>2</v>
      </c>
      <c r="F1564" s="165"/>
    </row>
    <row r="1565" spans="1:6" ht="15" thickBot="1" x14ac:dyDescent="0.25">
      <c r="A1565" s="20"/>
      <c r="B1565" s="37"/>
      <c r="C1565" s="38"/>
      <c r="D1565" s="21"/>
      <c r="E1565" s="259"/>
      <c r="F1565" s="166"/>
    </row>
    <row r="1566" spans="1:6" ht="15" thickBot="1" x14ac:dyDescent="0.25">
      <c r="A1566" s="22" t="s">
        <v>234</v>
      </c>
      <c r="B1566" s="41" t="s">
        <v>235</v>
      </c>
      <c r="C1566" s="42" t="s">
        <v>236</v>
      </c>
      <c r="D1566" s="23" t="s">
        <v>237</v>
      </c>
      <c r="E1566" s="260" t="s">
        <v>67</v>
      </c>
      <c r="F1566" s="167" t="s">
        <v>238</v>
      </c>
    </row>
    <row r="1567" spans="1:6" ht="15.75" thickTop="1" x14ac:dyDescent="0.25">
      <c r="A1567" s="24" t="s">
        <v>239</v>
      </c>
      <c r="B1567" s="44"/>
      <c r="C1567" s="45"/>
      <c r="D1567" s="25"/>
      <c r="E1567" s="261"/>
      <c r="F1567" s="168"/>
    </row>
    <row r="1568" spans="1:6" x14ac:dyDescent="0.2">
      <c r="A1568" s="27" t="s">
        <v>217</v>
      </c>
      <c r="B1568" s="44">
        <v>65800</v>
      </c>
      <c r="C1568" s="54">
        <v>1</v>
      </c>
      <c r="D1568" s="25" t="s">
        <v>101</v>
      </c>
      <c r="E1568" s="261">
        <v>0</v>
      </c>
      <c r="F1568" s="168">
        <f>+B1568*C1568*(1+E1568)</f>
        <v>65800</v>
      </c>
    </row>
    <row r="1569" spans="1:7" x14ac:dyDescent="0.2">
      <c r="A1569" s="27" t="s">
        <v>216</v>
      </c>
      <c r="B1569" s="44">
        <v>12500</v>
      </c>
      <c r="C1569" s="54">
        <v>1</v>
      </c>
      <c r="D1569" s="25" t="s">
        <v>101</v>
      </c>
      <c r="E1569" s="261">
        <v>0</v>
      </c>
      <c r="F1569" s="168">
        <f>+B1569*C1569*(1+E1569)</f>
        <v>12500</v>
      </c>
    </row>
    <row r="1570" spans="1:7" ht="15" thickBot="1" x14ac:dyDescent="0.25">
      <c r="A1570" s="20"/>
      <c r="B1570" s="39"/>
      <c r="C1570" s="38"/>
      <c r="D1570" s="21"/>
      <c r="E1570" s="259"/>
      <c r="F1570" s="166"/>
      <c r="G1570" s="55">
        <f>SUM(F1568:F1569)</f>
        <v>78300</v>
      </c>
    </row>
    <row r="1571" spans="1:7" ht="15" x14ac:dyDescent="0.25">
      <c r="A1571" s="28" t="s">
        <v>240</v>
      </c>
      <c r="B1571" s="49"/>
      <c r="C1571" s="50"/>
      <c r="D1571" s="29"/>
      <c r="E1571" s="262"/>
      <c r="F1571" s="164"/>
    </row>
    <row r="1572" spans="1:7" x14ac:dyDescent="0.2">
      <c r="A1572" s="27" t="s">
        <v>158</v>
      </c>
      <c r="B1572" s="83">
        <v>3915</v>
      </c>
      <c r="C1572" s="45">
        <v>1</v>
      </c>
      <c r="D1572" s="25" t="s">
        <v>101</v>
      </c>
      <c r="E1572" s="261">
        <v>0</v>
      </c>
      <c r="F1572" s="168">
        <f>+B1572*C1572*(1+E1572)</f>
        <v>3915</v>
      </c>
    </row>
    <row r="1573" spans="1:7" x14ac:dyDescent="0.2">
      <c r="A1573" s="27"/>
      <c r="B1573" s="44"/>
      <c r="C1573" s="45"/>
      <c r="D1573" s="25"/>
      <c r="E1573" s="261"/>
      <c r="F1573" s="168"/>
    </row>
    <row r="1574" spans="1:7" ht="15" thickBot="1" x14ac:dyDescent="0.25">
      <c r="A1574" s="20"/>
      <c r="B1574" s="39"/>
      <c r="C1574" s="38"/>
      <c r="D1574" s="21"/>
      <c r="E1574" s="259"/>
      <c r="F1574" s="166"/>
    </row>
    <row r="1575" spans="1:7" ht="15" x14ac:dyDescent="0.25">
      <c r="A1575" s="28" t="s">
        <v>116</v>
      </c>
      <c r="B1575" s="49"/>
      <c r="C1575" s="50"/>
      <c r="D1575" s="29"/>
      <c r="E1575" s="262"/>
      <c r="F1575" s="164"/>
    </row>
    <row r="1576" spans="1:7" x14ac:dyDescent="0.2">
      <c r="A1576" s="27" t="s">
        <v>92</v>
      </c>
      <c r="B1576" s="83">
        <v>2349</v>
      </c>
      <c r="C1576" s="45">
        <v>1</v>
      </c>
      <c r="D1576" s="25" t="s">
        <v>85</v>
      </c>
      <c r="E1576" s="261">
        <v>0</v>
      </c>
      <c r="F1576" s="168">
        <f>+B1576*C1576*(1+E1576)</f>
        <v>2349</v>
      </c>
    </row>
    <row r="1577" spans="1:7" ht="15" thickBot="1" x14ac:dyDescent="0.25">
      <c r="A1577" s="20"/>
      <c r="B1577" s="39"/>
      <c r="C1577" s="38"/>
      <c r="D1577" s="21"/>
      <c r="E1577" s="259"/>
      <c r="F1577" s="166"/>
    </row>
    <row r="1578" spans="1:7" ht="15" x14ac:dyDescent="0.25">
      <c r="A1578" s="24" t="s">
        <v>70</v>
      </c>
      <c r="B1578" s="44"/>
      <c r="C1578" s="45"/>
      <c r="D1578" s="25"/>
      <c r="E1578" s="261"/>
      <c r="F1578" s="168"/>
    </row>
    <row r="1579" spans="1:7" x14ac:dyDescent="0.2">
      <c r="A1579" s="27" t="s">
        <v>70</v>
      </c>
      <c r="B1579" s="44">
        <v>9198.3962499999998</v>
      </c>
      <c r="C1579" s="45">
        <v>2.8</v>
      </c>
      <c r="D1579" s="25" t="s">
        <v>213</v>
      </c>
      <c r="E1579" s="261">
        <v>0</v>
      </c>
      <c r="F1579" s="168">
        <f>+B1579*C1579*(1+E1579)</f>
        <v>25755.509499999996</v>
      </c>
    </row>
    <row r="1580" spans="1:7" ht="15" thickBot="1" x14ac:dyDescent="0.25">
      <c r="A1580" s="27"/>
      <c r="B1580" s="44"/>
      <c r="C1580" s="45"/>
      <c r="D1580" s="25"/>
      <c r="E1580" s="261"/>
      <c r="F1580" s="168"/>
    </row>
    <row r="1581" spans="1:7" ht="15.75" thickBot="1" x14ac:dyDescent="0.3">
      <c r="A1581" s="30"/>
      <c r="B1581" s="52"/>
      <c r="C1581" s="53"/>
      <c r="D1581" s="31"/>
      <c r="E1581" s="263" t="s">
        <v>241</v>
      </c>
      <c r="F1581" s="169">
        <f>SUM(F1568:F1579)</f>
        <v>110319.5095</v>
      </c>
    </row>
    <row r="1583" spans="1:7" ht="15" thickBot="1" x14ac:dyDescent="0.25"/>
    <row r="1584" spans="1:7" x14ac:dyDescent="0.2">
      <c r="A1584" s="16" t="s">
        <v>27</v>
      </c>
      <c r="B1584" s="33"/>
      <c r="C1584" s="34"/>
      <c r="D1584" s="17"/>
      <c r="E1584" s="257"/>
      <c r="F1584" s="164"/>
    </row>
    <row r="1585" spans="1:7" ht="25.5" x14ac:dyDescent="0.2">
      <c r="A1585" s="90" t="s">
        <v>881</v>
      </c>
      <c r="B1585" s="91"/>
      <c r="C1585" s="92"/>
      <c r="D1585" s="91" t="s">
        <v>233</v>
      </c>
      <c r="E1585" s="258" t="s">
        <v>2</v>
      </c>
      <c r="F1585" s="165"/>
    </row>
    <row r="1586" spans="1:7" ht="15" thickBot="1" x14ac:dyDescent="0.25">
      <c r="A1586" s="20"/>
      <c r="B1586" s="37"/>
      <c r="C1586" s="38"/>
      <c r="D1586" s="21"/>
      <c r="E1586" s="259"/>
      <c r="F1586" s="166"/>
    </row>
    <row r="1587" spans="1:7" ht="15" thickBot="1" x14ac:dyDescent="0.25">
      <c r="A1587" s="22" t="s">
        <v>234</v>
      </c>
      <c r="B1587" s="41" t="s">
        <v>235</v>
      </c>
      <c r="C1587" s="42" t="s">
        <v>236</v>
      </c>
      <c r="D1587" s="23" t="s">
        <v>237</v>
      </c>
      <c r="E1587" s="260" t="s">
        <v>67</v>
      </c>
      <c r="F1587" s="167" t="s">
        <v>238</v>
      </c>
    </row>
    <row r="1588" spans="1:7" ht="15.75" thickTop="1" x14ac:dyDescent="0.25">
      <c r="A1588" s="24" t="s">
        <v>239</v>
      </c>
      <c r="B1588" s="44"/>
      <c r="C1588" s="45"/>
      <c r="D1588" s="25"/>
      <c r="E1588" s="261"/>
      <c r="F1588" s="168"/>
    </row>
    <row r="1589" spans="1:7" x14ac:dyDescent="0.2">
      <c r="A1589" s="27" t="s">
        <v>882</v>
      </c>
      <c r="B1589" s="44">
        <v>105300</v>
      </c>
      <c r="C1589" s="54">
        <v>1</v>
      </c>
      <c r="D1589" s="25" t="s">
        <v>101</v>
      </c>
      <c r="E1589" s="261">
        <v>0</v>
      </c>
      <c r="F1589" s="168">
        <f>+B1589*C1589*(1+E1589)</f>
        <v>105300</v>
      </c>
    </row>
    <row r="1590" spans="1:7" x14ac:dyDescent="0.2">
      <c r="A1590" s="27" t="s">
        <v>216</v>
      </c>
      <c r="B1590" s="44">
        <v>12500</v>
      </c>
      <c r="C1590" s="54">
        <v>1</v>
      </c>
      <c r="D1590" s="25" t="s">
        <v>101</v>
      </c>
      <c r="E1590" s="261">
        <v>0</v>
      </c>
      <c r="F1590" s="168">
        <f>+B1590*C1590*(1+E1590)</f>
        <v>12500</v>
      </c>
    </row>
    <row r="1591" spans="1:7" ht="15" thickBot="1" x14ac:dyDescent="0.25">
      <c r="A1591" s="20"/>
      <c r="B1591" s="39"/>
      <c r="C1591" s="38"/>
      <c r="D1591" s="21"/>
      <c r="E1591" s="259"/>
      <c r="F1591" s="166"/>
      <c r="G1591" s="55">
        <f>SUM(F1589:F1590)</f>
        <v>117800</v>
      </c>
    </row>
    <row r="1592" spans="1:7" ht="15" x14ac:dyDescent="0.25">
      <c r="A1592" s="28" t="s">
        <v>240</v>
      </c>
      <c r="B1592" s="49"/>
      <c r="C1592" s="50"/>
      <c r="D1592" s="29"/>
      <c r="E1592" s="262"/>
      <c r="F1592" s="164"/>
    </row>
    <row r="1593" spans="1:7" x14ac:dyDescent="0.2">
      <c r="A1593" s="27" t="s">
        <v>158</v>
      </c>
      <c r="B1593" s="83">
        <v>3915</v>
      </c>
      <c r="C1593" s="45">
        <v>1</v>
      </c>
      <c r="D1593" s="25" t="s">
        <v>101</v>
      </c>
      <c r="E1593" s="261">
        <v>0</v>
      </c>
      <c r="F1593" s="168">
        <f>+B1593*C1593*(1+E1593)</f>
        <v>3915</v>
      </c>
    </row>
    <row r="1594" spans="1:7" x14ac:dyDescent="0.2">
      <c r="A1594" s="27"/>
      <c r="B1594" s="44"/>
      <c r="C1594" s="45"/>
      <c r="D1594" s="25"/>
      <c r="E1594" s="261"/>
      <c r="F1594" s="168"/>
    </row>
    <row r="1595" spans="1:7" ht="15" thickBot="1" x14ac:dyDescent="0.25">
      <c r="A1595" s="20"/>
      <c r="B1595" s="39"/>
      <c r="C1595" s="38"/>
      <c r="D1595" s="21"/>
      <c r="E1595" s="259"/>
      <c r="F1595" s="166"/>
    </row>
    <row r="1596" spans="1:7" ht="15" x14ac:dyDescent="0.25">
      <c r="A1596" s="28" t="s">
        <v>116</v>
      </c>
      <c r="B1596" s="49"/>
      <c r="C1596" s="50"/>
      <c r="D1596" s="29"/>
      <c r="E1596" s="262"/>
      <c r="F1596" s="164"/>
    </row>
    <row r="1597" spans="1:7" x14ac:dyDescent="0.2">
      <c r="A1597" s="27" t="s">
        <v>92</v>
      </c>
      <c r="B1597" s="83">
        <v>2349</v>
      </c>
      <c r="C1597" s="45">
        <v>1</v>
      </c>
      <c r="D1597" s="25" t="s">
        <v>85</v>
      </c>
      <c r="E1597" s="261">
        <v>0</v>
      </c>
      <c r="F1597" s="168">
        <f>+B1597*C1597*(1+E1597)</f>
        <v>2349</v>
      </c>
    </row>
    <row r="1598" spans="1:7" ht="15" thickBot="1" x14ac:dyDescent="0.25">
      <c r="A1598" s="20"/>
      <c r="B1598" s="39"/>
      <c r="C1598" s="38"/>
      <c r="D1598" s="21"/>
      <c r="E1598" s="259"/>
      <c r="F1598" s="166"/>
    </row>
    <row r="1599" spans="1:7" ht="15" x14ac:dyDescent="0.25">
      <c r="A1599" s="24" t="s">
        <v>70</v>
      </c>
      <c r="B1599" s="44"/>
      <c r="C1599" s="45"/>
      <c r="D1599" s="25"/>
      <c r="E1599" s="261"/>
      <c r="F1599" s="168"/>
    </row>
    <row r="1600" spans="1:7" x14ac:dyDescent="0.2">
      <c r="A1600" s="27" t="s">
        <v>70</v>
      </c>
      <c r="B1600" s="44">
        <v>9198.3962499999998</v>
      </c>
      <c r="C1600" s="45">
        <v>2.8</v>
      </c>
      <c r="D1600" s="25" t="s">
        <v>213</v>
      </c>
      <c r="E1600" s="261">
        <v>0</v>
      </c>
      <c r="F1600" s="168">
        <f>+B1600*C1600*(1+E1600)</f>
        <v>25755.509499999996</v>
      </c>
    </row>
    <row r="1601" spans="1:7" ht="15" thickBot="1" x14ac:dyDescent="0.25">
      <c r="A1601" s="27"/>
      <c r="B1601" s="44"/>
      <c r="C1601" s="45"/>
      <c r="D1601" s="25"/>
      <c r="E1601" s="261"/>
      <c r="F1601" s="168"/>
    </row>
    <row r="1602" spans="1:7" ht="15.75" thickBot="1" x14ac:dyDescent="0.3">
      <c r="A1602" s="30"/>
      <c r="B1602" s="52"/>
      <c r="C1602" s="53"/>
      <c r="D1602" s="31"/>
      <c r="E1602" s="263" t="s">
        <v>241</v>
      </c>
      <c r="F1602" s="169">
        <f>SUM(F1589:F1600)</f>
        <v>149819.50949999999</v>
      </c>
    </row>
    <row r="1604" spans="1:7" ht="15" thickBot="1" x14ac:dyDescent="0.25"/>
    <row r="1605" spans="1:7" x14ac:dyDescent="0.2">
      <c r="A1605" s="16" t="s">
        <v>27</v>
      </c>
      <c r="B1605" s="33"/>
      <c r="C1605" s="34"/>
      <c r="D1605" s="17"/>
      <c r="E1605" s="257"/>
      <c r="F1605" s="164"/>
    </row>
    <row r="1606" spans="1:7" ht="38.25" x14ac:dyDescent="0.2">
      <c r="A1606" s="90" t="s">
        <v>280</v>
      </c>
      <c r="B1606" s="91"/>
      <c r="C1606" s="92"/>
      <c r="D1606" s="91" t="s">
        <v>233</v>
      </c>
      <c r="E1606" s="258" t="s">
        <v>2</v>
      </c>
      <c r="F1606" s="165"/>
    </row>
    <row r="1607" spans="1:7" ht="15" thickBot="1" x14ac:dyDescent="0.25">
      <c r="A1607" s="20"/>
      <c r="B1607" s="37"/>
      <c r="C1607" s="38"/>
      <c r="D1607" s="21"/>
      <c r="E1607" s="259"/>
      <c r="F1607" s="166"/>
    </row>
    <row r="1608" spans="1:7" ht="15" thickBot="1" x14ac:dyDescent="0.25">
      <c r="A1608" s="22" t="s">
        <v>234</v>
      </c>
      <c r="B1608" s="41" t="s">
        <v>235</v>
      </c>
      <c r="C1608" s="42" t="s">
        <v>236</v>
      </c>
      <c r="D1608" s="23" t="s">
        <v>237</v>
      </c>
      <c r="E1608" s="260" t="s">
        <v>67</v>
      </c>
      <c r="F1608" s="167" t="s">
        <v>238</v>
      </c>
    </row>
    <row r="1609" spans="1:7" ht="15.75" thickTop="1" x14ac:dyDescent="0.25">
      <c r="A1609" s="24" t="s">
        <v>239</v>
      </c>
      <c r="B1609" s="44"/>
      <c r="C1609" s="45"/>
      <c r="D1609" s="25"/>
      <c r="E1609" s="261"/>
      <c r="F1609" s="168"/>
    </row>
    <row r="1610" spans="1:7" x14ac:dyDescent="0.2">
      <c r="A1610" s="27" t="s">
        <v>218</v>
      </c>
      <c r="B1610" s="44">
        <v>262900</v>
      </c>
      <c r="C1610" s="54">
        <v>1</v>
      </c>
      <c r="D1610" s="25" t="s">
        <v>101</v>
      </c>
      <c r="E1610" s="261">
        <v>0</v>
      </c>
      <c r="F1610" s="168">
        <f>+B1610*C1610*(1+E1610)</f>
        <v>262900</v>
      </c>
    </row>
    <row r="1611" spans="1:7" x14ac:dyDescent="0.2">
      <c r="A1611" s="27" t="s">
        <v>219</v>
      </c>
      <c r="B1611" s="44">
        <v>21500</v>
      </c>
      <c r="C1611" s="54">
        <v>1</v>
      </c>
      <c r="D1611" s="25" t="s">
        <v>101</v>
      </c>
      <c r="E1611" s="261">
        <v>0</v>
      </c>
      <c r="F1611" s="168">
        <f>+B1611*C1611*(1+E1611)</f>
        <v>21500</v>
      </c>
    </row>
    <row r="1612" spans="1:7" ht="15" thickBot="1" x14ac:dyDescent="0.25">
      <c r="A1612" s="20"/>
      <c r="B1612" s="39"/>
      <c r="C1612" s="38"/>
      <c r="D1612" s="21"/>
      <c r="E1612" s="259"/>
      <c r="F1612" s="166"/>
      <c r="G1612" s="55">
        <f>SUM(F1610:F1611)</f>
        <v>284400</v>
      </c>
    </row>
    <row r="1613" spans="1:7" ht="15" x14ac:dyDescent="0.25">
      <c r="A1613" s="28" t="s">
        <v>240</v>
      </c>
      <c r="B1613" s="49"/>
      <c r="C1613" s="50"/>
      <c r="D1613" s="29"/>
      <c r="E1613" s="262"/>
      <c r="F1613" s="164"/>
    </row>
    <row r="1614" spans="1:7" x14ac:dyDescent="0.2">
      <c r="A1614" s="27" t="s">
        <v>158</v>
      </c>
      <c r="B1614" s="83">
        <v>14220</v>
      </c>
      <c r="C1614" s="45">
        <v>1</v>
      </c>
      <c r="D1614" s="25" t="s">
        <v>101</v>
      </c>
      <c r="E1614" s="261">
        <v>0</v>
      </c>
      <c r="F1614" s="168">
        <f>+B1614*C1614*(1+E1614)</f>
        <v>14220</v>
      </c>
    </row>
    <row r="1615" spans="1:7" x14ac:dyDescent="0.2">
      <c r="A1615" s="27"/>
      <c r="B1615" s="44"/>
      <c r="C1615" s="45"/>
      <c r="D1615" s="25"/>
      <c r="E1615" s="261"/>
      <c r="F1615" s="168"/>
    </row>
    <row r="1616" spans="1:7" ht="15" thickBot="1" x14ac:dyDescent="0.25">
      <c r="A1616" s="20"/>
      <c r="B1616" s="39"/>
      <c r="C1616" s="38"/>
      <c r="D1616" s="21"/>
      <c r="E1616" s="259"/>
      <c r="F1616" s="166"/>
    </row>
    <row r="1617" spans="1:7" ht="15" x14ac:dyDescent="0.25">
      <c r="A1617" s="28" t="s">
        <v>116</v>
      </c>
      <c r="B1617" s="49"/>
      <c r="C1617" s="50"/>
      <c r="D1617" s="29"/>
      <c r="E1617" s="262"/>
      <c r="F1617" s="164"/>
    </row>
    <row r="1618" spans="1:7" x14ac:dyDescent="0.2">
      <c r="A1618" s="27" t="s">
        <v>92</v>
      </c>
      <c r="B1618" s="83">
        <v>8532</v>
      </c>
      <c r="C1618" s="45">
        <v>1</v>
      </c>
      <c r="D1618" s="25" t="s">
        <v>85</v>
      </c>
      <c r="E1618" s="261">
        <v>0</v>
      </c>
      <c r="F1618" s="168">
        <f>+B1618*C1618*(1+E1618)</f>
        <v>8532</v>
      </c>
    </row>
    <row r="1619" spans="1:7" ht="15" thickBot="1" x14ac:dyDescent="0.25">
      <c r="A1619" s="20"/>
      <c r="B1619" s="39"/>
      <c r="C1619" s="38"/>
      <c r="D1619" s="21"/>
      <c r="E1619" s="259"/>
      <c r="F1619" s="166"/>
    </row>
    <row r="1620" spans="1:7" ht="15" x14ac:dyDescent="0.25">
      <c r="A1620" s="24" t="s">
        <v>70</v>
      </c>
      <c r="B1620" s="44"/>
      <c r="C1620" s="45"/>
      <c r="D1620" s="25"/>
      <c r="E1620" s="261"/>
      <c r="F1620" s="168"/>
    </row>
    <row r="1621" spans="1:7" x14ac:dyDescent="0.2">
      <c r="A1621" s="27" t="s">
        <v>70</v>
      </c>
      <c r="B1621" s="44">
        <v>9198.3962499999998</v>
      </c>
      <c r="C1621" s="45">
        <v>2.8</v>
      </c>
      <c r="D1621" s="25" t="s">
        <v>213</v>
      </c>
      <c r="E1621" s="261">
        <v>0</v>
      </c>
      <c r="F1621" s="168">
        <f>+B1621*C1621*(1+E1621)</f>
        <v>25755.509499999996</v>
      </c>
    </row>
    <row r="1622" spans="1:7" ht="15" thickBot="1" x14ac:dyDescent="0.25">
      <c r="A1622" s="27"/>
      <c r="B1622" s="44"/>
      <c r="C1622" s="45"/>
      <c r="D1622" s="25"/>
      <c r="E1622" s="261"/>
      <c r="F1622" s="168"/>
    </row>
    <row r="1623" spans="1:7" ht="15.75" thickBot="1" x14ac:dyDescent="0.3">
      <c r="A1623" s="30"/>
      <c r="B1623" s="52"/>
      <c r="C1623" s="53"/>
      <c r="D1623" s="31"/>
      <c r="E1623" s="263" t="s">
        <v>241</v>
      </c>
      <c r="F1623" s="169">
        <f>SUM(F1610:F1621)</f>
        <v>332907.50949999999</v>
      </c>
    </row>
    <row r="1625" spans="1:7" ht="15" thickBot="1" x14ac:dyDescent="0.25"/>
    <row r="1626" spans="1:7" x14ac:dyDescent="0.2">
      <c r="A1626" s="16" t="s">
        <v>27</v>
      </c>
      <c r="B1626" s="33"/>
      <c r="C1626" s="34"/>
      <c r="D1626" s="17"/>
      <c r="E1626" s="257"/>
      <c r="F1626" s="164"/>
    </row>
    <row r="1627" spans="1:7" x14ac:dyDescent="0.2">
      <c r="A1627" s="90" t="s">
        <v>281</v>
      </c>
      <c r="B1627" s="91"/>
      <c r="C1627" s="92"/>
      <c r="D1627" s="91" t="s">
        <v>233</v>
      </c>
      <c r="E1627" s="258" t="s">
        <v>2</v>
      </c>
      <c r="F1627" s="165"/>
    </row>
    <row r="1628" spans="1:7" ht="15" thickBot="1" x14ac:dyDescent="0.25">
      <c r="A1628" s="20"/>
      <c r="B1628" s="37"/>
      <c r="C1628" s="38"/>
      <c r="D1628" s="21"/>
      <c r="E1628" s="259"/>
      <c r="F1628" s="166"/>
    </row>
    <row r="1629" spans="1:7" ht="15" thickBot="1" x14ac:dyDescent="0.25">
      <c r="A1629" s="22" t="s">
        <v>234</v>
      </c>
      <c r="B1629" s="41" t="s">
        <v>235</v>
      </c>
      <c r="C1629" s="42" t="s">
        <v>236</v>
      </c>
      <c r="D1629" s="23" t="s">
        <v>237</v>
      </c>
      <c r="E1629" s="260" t="s">
        <v>67</v>
      </c>
      <c r="F1629" s="167" t="s">
        <v>238</v>
      </c>
    </row>
    <row r="1630" spans="1:7" ht="15.75" thickTop="1" x14ac:dyDescent="0.25">
      <c r="A1630" s="24" t="s">
        <v>239</v>
      </c>
      <c r="B1630" s="44"/>
      <c r="C1630" s="45"/>
      <c r="D1630" s="25"/>
      <c r="E1630" s="261"/>
      <c r="F1630" s="168"/>
    </row>
    <row r="1631" spans="1:7" x14ac:dyDescent="0.2">
      <c r="A1631" s="27" t="s">
        <v>448</v>
      </c>
      <c r="B1631" s="44">
        <f>48900*1.19</f>
        <v>58191</v>
      </c>
      <c r="C1631" s="54">
        <v>1</v>
      </c>
      <c r="D1631" s="25" t="s">
        <v>101</v>
      </c>
      <c r="E1631" s="261">
        <v>0</v>
      </c>
      <c r="F1631" s="168">
        <f>+B1631*C1631*(1+E1631)</f>
        <v>58191</v>
      </c>
    </row>
    <row r="1632" spans="1:7" ht="15" thickBot="1" x14ac:dyDescent="0.25">
      <c r="A1632" s="20"/>
      <c r="B1632" s="39"/>
      <c r="C1632" s="38"/>
      <c r="D1632" s="21"/>
      <c r="E1632" s="259"/>
      <c r="F1632" s="166"/>
      <c r="G1632" s="55">
        <f>SUM(F1631:F1631)</f>
        <v>58191</v>
      </c>
    </row>
    <row r="1633" spans="1:6" ht="15" x14ac:dyDescent="0.25">
      <c r="A1633" s="28" t="s">
        <v>240</v>
      </c>
      <c r="B1633" s="49"/>
      <c r="C1633" s="50"/>
      <c r="D1633" s="29"/>
      <c r="E1633" s="262"/>
      <c r="F1633" s="164"/>
    </row>
    <row r="1634" spans="1:6" x14ac:dyDescent="0.2">
      <c r="A1634" s="27" t="s">
        <v>158</v>
      </c>
      <c r="B1634" s="83">
        <v>2909.55</v>
      </c>
      <c r="C1634" s="45">
        <v>1</v>
      </c>
      <c r="D1634" s="25" t="s">
        <v>101</v>
      </c>
      <c r="E1634" s="261">
        <v>0</v>
      </c>
      <c r="F1634" s="168">
        <f>+B1634*C1634*(1+E1634)</f>
        <v>2909.55</v>
      </c>
    </row>
    <row r="1635" spans="1:6" x14ac:dyDescent="0.2">
      <c r="A1635" s="27"/>
      <c r="B1635" s="44"/>
      <c r="C1635" s="45"/>
      <c r="D1635" s="25"/>
      <c r="E1635" s="261"/>
      <c r="F1635" s="168"/>
    </row>
    <row r="1636" spans="1:6" ht="15" thickBot="1" x14ac:dyDescent="0.25">
      <c r="A1636" s="20"/>
      <c r="B1636" s="39"/>
      <c r="C1636" s="38"/>
      <c r="D1636" s="21"/>
      <c r="E1636" s="259"/>
      <c r="F1636" s="166"/>
    </row>
    <row r="1637" spans="1:6" ht="15" x14ac:dyDescent="0.25">
      <c r="A1637" s="28" t="s">
        <v>116</v>
      </c>
      <c r="B1637" s="49"/>
      <c r="C1637" s="50"/>
      <c r="D1637" s="29"/>
      <c r="E1637" s="262"/>
      <c r="F1637" s="164"/>
    </row>
    <row r="1638" spans="1:6" x14ac:dyDescent="0.2">
      <c r="A1638" s="27" t="s">
        <v>92</v>
      </c>
      <c r="B1638" s="83">
        <v>1745.73</v>
      </c>
      <c r="C1638" s="45">
        <v>1</v>
      </c>
      <c r="D1638" s="25" t="s">
        <v>85</v>
      </c>
      <c r="E1638" s="261">
        <v>0</v>
      </c>
      <c r="F1638" s="168">
        <f>+B1638*C1638*(1+E1638)</f>
        <v>1745.73</v>
      </c>
    </row>
    <row r="1639" spans="1:6" ht="15" thickBot="1" x14ac:dyDescent="0.25">
      <c r="A1639" s="20"/>
      <c r="B1639" s="39"/>
      <c r="C1639" s="38"/>
      <c r="D1639" s="21"/>
      <c r="E1639" s="259"/>
      <c r="F1639" s="166"/>
    </row>
    <row r="1640" spans="1:6" ht="15" x14ac:dyDescent="0.25">
      <c r="A1640" s="24" t="s">
        <v>70</v>
      </c>
      <c r="B1640" s="44"/>
      <c r="C1640" s="45"/>
      <c r="D1640" s="25"/>
      <c r="E1640" s="261"/>
      <c r="F1640" s="168"/>
    </row>
    <row r="1641" spans="1:6" x14ac:dyDescent="0.2">
      <c r="A1641" s="27" t="s">
        <v>70</v>
      </c>
      <c r="B1641" s="44">
        <v>9198.3962499999998</v>
      </c>
      <c r="C1641" s="45">
        <v>2</v>
      </c>
      <c r="D1641" s="25" t="s">
        <v>213</v>
      </c>
      <c r="E1641" s="261">
        <v>0</v>
      </c>
      <c r="F1641" s="168">
        <f>+B1641*C1641*(1+E1641)</f>
        <v>18396.7925</v>
      </c>
    </row>
    <row r="1642" spans="1:6" ht="15" thickBot="1" x14ac:dyDescent="0.25">
      <c r="A1642" s="27"/>
      <c r="B1642" s="44"/>
      <c r="C1642" s="45"/>
      <c r="D1642" s="25"/>
      <c r="E1642" s="261"/>
      <c r="F1642" s="168"/>
    </row>
    <row r="1643" spans="1:6" ht="15.75" thickBot="1" x14ac:dyDescent="0.3">
      <c r="A1643" s="30"/>
      <c r="B1643" s="52"/>
      <c r="C1643" s="53"/>
      <c r="D1643" s="31"/>
      <c r="E1643" s="263" t="s">
        <v>241</v>
      </c>
      <c r="F1643" s="169">
        <f>SUM(F1631:F1641)</f>
        <v>81243.072500000009</v>
      </c>
    </row>
    <row r="1647" spans="1:6" ht="15" thickBot="1" x14ac:dyDescent="0.25"/>
    <row r="1648" spans="1:6" x14ac:dyDescent="0.2">
      <c r="A1648" s="16" t="s">
        <v>27</v>
      </c>
      <c r="B1648" s="33"/>
      <c r="C1648" s="34"/>
      <c r="D1648" s="17"/>
      <c r="E1648" s="257"/>
      <c r="F1648" s="164"/>
    </row>
    <row r="1649" spans="1:7" ht="25.5" x14ac:dyDescent="0.2">
      <c r="A1649" s="90" t="s">
        <v>426</v>
      </c>
      <c r="B1649" s="91"/>
      <c r="C1649" s="92"/>
      <c r="D1649" s="91" t="s">
        <v>233</v>
      </c>
      <c r="E1649" s="264" t="s">
        <v>75</v>
      </c>
      <c r="F1649" s="170"/>
    </row>
    <row r="1650" spans="1:7" ht="15" thickBot="1" x14ac:dyDescent="0.25">
      <c r="A1650" s="20"/>
      <c r="B1650" s="37"/>
      <c r="C1650" s="38"/>
      <c r="D1650" s="21"/>
      <c r="E1650" s="259"/>
      <c r="F1650" s="166"/>
    </row>
    <row r="1651" spans="1:7" ht="15" thickBot="1" x14ac:dyDescent="0.25">
      <c r="A1651" s="22" t="s">
        <v>234</v>
      </c>
      <c r="B1651" s="41" t="s">
        <v>235</v>
      </c>
      <c r="C1651" s="42" t="s">
        <v>236</v>
      </c>
      <c r="D1651" s="23" t="s">
        <v>237</v>
      </c>
      <c r="E1651" s="260" t="s">
        <v>67</v>
      </c>
      <c r="F1651" s="167" t="s">
        <v>238</v>
      </c>
    </row>
    <row r="1652" spans="1:7" ht="15.75" thickTop="1" x14ac:dyDescent="0.25">
      <c r="A1652" s="24" t="s">
        <v>239</v>
      </c>
      <c r="B1652" s="44"/>
      <c r="C1652" s="45"/>
      <c r="D1652" s="25"/>
      <c r="E1652" s="261"/>
      <c r="F1652" s="168"/>
    </row>
    <row r="1653" spans="1:7" x14ac:dyDescent="0.2">
      <c r="A1653" s="27" t="s">
        <v>427</v>
      </c>
      <c r="B1653" s="44">
        <v>50626</v>
      </c>
      <c r="C1653" s="54">
        <v>1</v>
      </c>
      <c r="D1653" s="25" t="s">
        <v>85</v>
      </c>
      <c r="E1653" s="261">
        <v>0</v>
      </c>
      <c r="F1653" s="168">
        <f>+B1653*C1653*(1+E1653)</f>
        <v>50626</v>
      </c>
    </row>
    <row r="1654" spans="1:7" x14ac:dyDescent="0.2">
      <c r="A1654" s="27" t="s">
        <v>428</v>
      </c>
      <c r="B1654" s="44">
        <v>3900</v>
      </c>
      <c r="C1654" s="54">
        <v>0.5</v>
      </c>
      <c r="D1654" s="25" t="s">
        <v>429</v>
      </c>
      <c r="E1654" s="261">
        <v>0</v>
      </c>
      <c r="F1654" s="168">
        <f>+B1654*C1654*(1+E1654)</f>
        <v>1950</v>
      </c>
    </row>
    <row r="1655" spans="1:7" ht="15" thickBot="1" x14ac:dyDescent="0.25">
      <c r="A1655" s="20"/>
      <c r="B1655" s="39"/>
      <c r="C1655" s="38"/>
      <c r="D1655" s="21"/>
      <c r="E1655" s="259"/>
      <c r="F1655" s="166"/>
      <c r="G1655" s="55">
        <f>SUM(F1653:F1653)</f>
        <v>50626</v>
      </c>
    </row>
    <row r="1656" spans="1:7" ht="15" x14ac:dyDescent="0.25">
      <c r="A1656" s="28" t="s">
        <v>240</v>
      </c>
      <c r="B1656" s="49"/>
      <c r="C1656" s="50"/>
      <c r="D1656" s="29"/>
      <c r="E1656" s="262"/>
      <c r="F1656" s="164"/>
    </row>
    <row r="1657" spans="1:7" x14ac:dyDescent="0.2">
      <c r="A1657" s="27" t="s">
        <v>158</v>
      </c>
      <c r="B1657" s="83">
        <v>2531.3000000000002</v>
      </c>
      <c r="C1657" s="45">
        <v>1</v>
      </c>
      <c r="D1657" s="25" t="s">
        <v>101</v>
      </c>
      <c r="E1657" s="261">
        <v>0</v>
      </c>
      <c r="F1657" s="168">
        <f>+B1657*C1657*(1+E1657)</f>
        <v>2531.3000000000002</v>
      </c>
    </row>
    <row r="1658" spans="1:7" x14ac:dyDescent="0.2">
      <c r="A1658" s="27"/>
      <c r="B1658" s="44"/>
      <c r="C1658" s="45"/>
      <c r="D1658" s="25"/>
      <c r="E1658" s="261"/>
      <c r="F1658" s="168"/>
    </row>
    <row r="1659" spans="1:7" ht="15" thickBot="1" x14ac:dyDescent="0.25">
      <c r="A1659" s="20"/>
      <c r="B1659" s="39"/>
      <c r="C1659" s="38"/>
      <c r="D1659" s="21"/>
      <c r="E1659" s="259"/>
      <c r="F1659" s="166"/>
    </row>
    <row r="1660" spans="1:7" ht="15" x14ac:dyDescent="0.25">
      <c r="A1660" s="28" t="s">
        <v>116</v>
      </c>
      <c r="B1660" s="49"/>
      <c r="C1660" s="50"/>
      <c r="D1660" s="29"/>
      <c r="E1660" s="262"/>
      <c r="F1660" s="164"/>
    </row>
    <row r="1661" spans="1:7" x14ac:dyDescent="0.2">
      <c r="A1661" s="27" t="s">
        <v>92</v>
      </c>
      <c r="B1661" s="83">
        <v>1518.78</v>
      </c>
      <c r="C1661" s="45">
        <v>1</v>
      </c>
      <c r="D1661" s="25" t="s">
        <v>85</v>
      </c>
      <c r="E1661" s="261">
        <v>0</v>
      </c>
      <c r="F1661" s="168">
        <f>+B1661*C1661*(1+E1661)</f>
        <v>1518.78</v>
      </c>
    </row>
    <row r="1662" spans="1:7" ht="15" thickBot="1" x14ac:dyDescent="0.25">
      <c r="A1662" s="20"/>
      <c r="B1662" s="39"/>
      <c r="C1662" s="38"/>
      <c r="D1662" s="21"/>
      <c r="E1662" s="259"/>
      <c r="F1662" s="166"/>
    </row>
    <row r="1663" spans="1:7" ht="15" x14ac:dyDescent="0.25">
      <c r="A1663" s="24" t="s">
        <v>70</v>
      </c>
      <c r="B1663" s="44"/>
      <c r="C1663" s="45"/>
      <c r="D1663" s="25"/>
      <c r="E1663" s="261"/>
      <c r="F1663" s="168"/>
    </row>
    <row r="1664" spans="1:7" x14ac:dyDescent="0.2">
      <c r="A1664" s="27" t="s">
        <v>70</v>
      </c>
      <c r="B1664" s="44">
        <v>9198.3962499999998</v>
      </c>
      <c r="C1664" s="45">
        <v>2</v>
      </c>
      <c r="D1664" s="25" t="s">
        <v>213</v>
      </c>
      <c r="E1664" s="261">
        <v>0</v>
      </c>
      <c r="F1664" s="168">
        <f>+B1664*C1664*(1+E1664)</f>
        <v>18396.7925</v>
      </c>
    </row>
    <row r="1665" spans="1:7" ht="15" thickBot="1" x14ac:dyDescent="0.25">
      <c r="A1665" s="27"/>
      <c r="B1665" s="44"/>
      <c r="C1665" s="45"/>
      <c r="D1665" s="25"/>
      <c r="E1665" s="261"/>
      <c r="F1665" s="168"/>
    </row>
    <row r="1666" spans="1:7" ht="15.75" thickBot="1" x14ac:dyDescent="0.3">
      <c r="A1666" s="30"/>
      <c r="B1666" s="52"/>
      <c r="C1666" s="53"/>
      <c r="D1666" s="31"/>
      <c r="E1666" s="263" t="s">
        <v>241</v>
      </c>
      <c r="F1666" s="169">
        <f>SUM(F1653:F1664)</f>
        <v>75022.872499999998</v>
      </c>
    </row>
    <row r="1669" spans="1:7" ht="15" thickBot="1" x14ac:dyDescent="0.25"/>
    <row r="1670" spans="1:7" x14ac:dyDescent="0.2">
      <c r="A1670" s="16" t="s">
        <v>27</v>
      </c>
      <c r="B1670" s="33"/>
      <c r="C1670" s="34"/>
      <c r="D1670" s="17"/>
      <c r="E1670" s="257"/>
      <c r="F1670" s="164"/>
    </row>
    <row r="1671" spans="1:7" ht="76.5" x14ac:dyDescent="0.2">
      <c r="A1671" s="90" t="s">
        <v>554</v>
      </c>
      <c r="B1671" s="91"/>
      <c r="C1671" s="92"/>
      <c r="D1671" s="91" t="s">
        <v>233</v>
      </c>
      <c r="E1671" s="264" t="s">
        <v>2</v>
      </c>
      <c r="F1671" s="170"/>
    </row>
    <row r="1672" spans="1:7" ht="15" thickBot="1" x14ac:dyDescent="0.25">
      <c r="A1672" s="20"/>
      <c r="B1672" s="37"/>
      <c r="C1672" s="38"/>
      <c r="D1672" s="21"/>
      <c r="E1672" s="259"/>
      <c r="F1672" s="166"/>
    </row>
    <row r="1673" spans="1:7" ht="15" thickBot="1" x14ac:dyDescent="0.25">
      <c r="A1673" s="22" t="s">
        <v>234</v>
      </c>
      <c r="B1673" s="41" t="s">
        <v>235</v>
      </c>
      <c r="C1673" s="42" t="s">
        <v>236</v>
      </c>
      <c r="D1673" s="23" t="s">
        <v>237</v>
      </c>
      <c r="E1673" s="260" t="s">
        <v>67</v>
      </c>
      <c r="F1673" s="167" t="s">
        <v>238</v>
      </c>
    </row>
    <row r="1674" spans="1:7" ht="15.75" thickTop="1" x14ac:dyDescent="0.25">
      <c r="A1674" s="24" t="s">
        <v>239</v>
      </c>
      <c r="B1674" s="44"/>
      <c r="C1674" s="45"/>
      <c r="D1674" s="25"/>
      <c r="E1674" s="261"/>
      <c r="F1674" s="168"/>
    </row>
    <row r="1675" spans="1:7" ht="42.75" x14ac:dyDescent="0.2">
      <c r="A1675" s="27" t="s">
        <v>555</v>
      </c>
      <c r="B1675" s="44">
        <f>1824000*2</f>
        <v>3648000</v>
      </c>
      <c r="C1675" s="54">
        <v>1</v>
      </c>
      <c r="D1675" s="25" t="s">
        <v>285</v>
      </c>
      <c r="E1675" s="261">
        <v>0</v>
      </c>
      <c r="F1675" s="168">
        <f>+B1675*C1675*(1+E1675)</f>
        <v>3648000</v>
      </c>
    </row>
    <row r="1676" spans="1:7" x14ac:dyDescent="0.2">
      <c r="A1676" s="27" t="s">
        <v>788</v>
      </c>
      <c r="B1676" s="44">
        <v>65438</v>
      </c>
      <c r="C1676" s="54">
        <v>1</v>
      </c>
      <c r="D1676" s="25" t="s">
        <v>285</v>
      </c>
      <c r="E1676" s="261">
        <v>0</v>
      </c>
      <c r="F1676" s="168">
        <f>+B1676*C1676*(1+E1676)</f>
        <v>65438</v>
      </c>
    </row>
    <row r="1677" spans="1:7" ht="42.75" x14ac:dyDescent="0.2">
      <c r="A1677" s="27" t="s">
        <v>789</v>
      </c>
      <c r="B1677" s="44">
        <v>178500</v>
      </c>
      <c r="C1677" s="54">
        <v>1</v>
      </c>
      <c r="D1677" s="25" t="s">
        <v>285</v>
      </c>
      <c r="E1677" s="261">
        <v>0.03</v>
      </c>
      <c r="F1677" s="168">
        <f>+B1677*C1677*(1+E1677)</f>
        <v>183855</v>
      </c>
    </row>
    <row r="1678" spans="1:7" ht="28.5" x14ac:dyDescent="0.2">
      <c r="A1678" s="27" t="s">
        <v>790</v>
      </c>
      <c r="B1678" s="44">
        <v>1190000</v>
      </c>
      <c r="C1678" s="54">
        <v>1</v>
      </c>
      <c r="D1678" s="25" t="s">
        <v>285</v>
      </c>
      <c r="E1678" s="261">
        <v>0.03</v>
      </c>
      <c r="F1678" s="168">
        <f>+B1678*C1678*(1+E1678)</f>
        <v>1225700</v>
      </c>
    </row>
    <row r="1679" spans="1:7" ht="15" thickBot="1" x14ac:dyDescent="0.25">
      <c r="A1679" s="20"/>
      <c r="B1679" s="39"/>
      <c r="C1679" s="38"/>
      <c r="D1679" s="21"/>
      <c r="E1679" s="259"/>
      <c r="F1679" s="166"/>
      <c r="G1679" s="55">
        <f>SUM(F1675:F1678)</f>
        <v>5122993</v>
      </c>
    </row>
    <row r="1680" spans="1:7" ht="15" x14ac:dyDescent="0.25">
      <c r="A1680" s="28" t="s">
        <v>240</v>
      </c>
      <c r="B1680" s="49"/>
      <c r="C1680" s="50"/>
      <c r="D1680" s="29"/>
      <c r="E1680" s="262"/>
      <c r="F1680" s="164"/>
    </row>
    <row r="1681" spans="1:6" x14ac:dyDescent="0.2">
      <c r="A1681" s="27" t="s">
        <v>158</v>
      </c>
      <c r="B1681" s="83">
        <v>227481.45</v>
      </c>
      <c r="C1681" s="45">
        <v>1</v>
      </c>
      <c r="D1681" s="25" t="s">
        <v>101</v>
      </c>
      <c r="E1681" s="261">
        <v>0</v>
      </c>
      <c r="F1681" s="168">
        <f>+B1681*C1681*(1+E1681)</f>
        <v>227481.45</v>
      </c>
    </row>
    <row r="1682" spans="1:6" x14ac:dyDescent="0.2">
      <c r="A1682" s="27"/>
      <c r="B1682" s="44"/>
      <c r="C1682" s="45"/>
      <c r="D1682" s="25"/>
      <c r="E1682" s="261"/>
      <c r="F1682" s="168"/>
    </row>
    <row r="1683" spans="1:6" ht="15" thickBot="1" x14ac:dyDescent="0.25">
      <c r="A1683" s="20"/>
      <c r="B1683" s="39"/>
      <c r="C1683" s="38"/>
      <c r="D1683" s="21"/>
      <c r="E1683" s="259"/>
      <c r="F1683" s="166"/>
    </row>
    <row r="1684" spans="1:6" ht="15" x14ac:dyDescent="0.25">
      <c r="A1684" s="28" t="s">
        <v>116</v>
      </c>
      <c r="B1684" s="49"/>
      <c r="C1684" s="50"/>
      <c r="D1684" s="29"/>
      <c r="E1684" s="262"/>
      <c r="F1684" s="164"/>
    </row>
    <row r="1685" spans="1:6" x14ac:dyDescent="0.2">
      <c r="A1685" s="27" t="s">
        <v>92</v>
      </c>
      <c r="B1685" s="83">
        <v>196488.87</v>
      </c>
      <c r="C1685" s="45">
        <v>1</v>
      </c>
      <c r="D1685" s="25" t="s">
        <v>85</v>
      </c>
      <c r="E1685" s="261">
        <v>0</v>
      </c>
      <c r="F1685" s="168">
        <f>+B1685*C1685*(1+E1685)</f>
        <v>196488.87</v>
      </c>
    </row>
    <row r="1686" spans="1:6" ht="15" thickBot="1" x14ac:dyDescent="0.25">
      <c r="A1686" s="20"/>
      <c r="B1686" s="39"/>
      <c r="C1686" s="38"/>
      <c r="D1686" s="21"/>
      <c r="E1686" s="259"/>
      <c r="F1686" s="166"/>
    </row>
    <row r="1687" spans="1:6" ht="15" x14ac:dyDescent="0.25">
      <c r="A1687" s="24" t="s">
        <v>70</v>
      </c>
      <c r="B1687" s="44"/>
      <c r="C1687" s="45"/>
      <c r="D1687" s="25"/>
      <c r="E1687" s="261"/>
      <c r="F1687" s="168"/>
    </row>
    <row r="1688" spans="1:6" x14ac:dyDescent="0.2">
      <c r="A1688" s="27" t="s">
        <v>70</v>
      </c>
      <c r="B1688" s="44">
        <v>9198.3962499999998</v>
      </c>
      <c r="C1688" s="45">
        <v>15</v>
      </c>
      <c r="D1688" s="25" t="s">
        <v>213</v>
      </c>
      <c r="E1688" s="261">
        <v>0</v>
      </c>
      <c r="F1688" s="168">
        <f>+B1688*C1688*(1+E1688)</f>
        <v>137975.94375000001</v>
      </c>
    </row>
    <row r="1689" spans="1:6" ht="15" thickBot="1" x14ac:dyDescent="0.25">
      <c r="A1689" s="27"/>
      <c r="B1689" s="44"/>
      <c r="C1689" s="45"/>
      <c r="D1689" s="25"/>
      <c r="E1689" s="261"/>
      <c r="F1689" s="168"/>
    </row>
    <row r="1690" spans="1:6" ht="15.75" thickBot="1" x14ac:dyDescent="0.3">
      <c r="A1690" s="30"/>
      <c r="B1690" s="52"/>
      <c r="C1690" s="53"/>
      <c r="D1690" s="31"/>
      <c r="E1690" s="263" t="s">
        <v>241</v>
      </c>
      <c r="F1690" s="169">
        <f>SUM(F1675:F1688)</f>
        <v>5684939.2637499999</v>
      </c>
    </row>
    <row r="1694" spans="1:6" ht="15" thickBot="1" x14ac:dyDescent="0.25"/>
    <row r="1695" spans="1:6" x14ac:dyDescent="0.2">
      <c r="A1695" s="16" t="s">
        <v>282</v>
      </c>
      <c r="B1695" s="33"/>
      <c r="C1695" s="34"/>
      <c r="D1695" s="17"/>
      <c r="E1695" s="257"/>
      <c r="F1695" s="164"/>
    </row>
    <row r="1696" spans="1:6" ht="38.25" x14ac:dyDescent="0.2">
      <c r="A1696" s="90" t="s">
        <v>415</v>
      </c>
      <c r="B1696" s="91"/>
      <c r="C1696" s="92"/>
      <c r="D1696" s="91" t="s">
        <v>233</v>
      </c>
      <c r="E1696" s="264" t="s">
        <v>2</v>
      </c>
      <c r="F1696" s="165"/>
    </row>
    <row r="1697" spans="1:7" ht="15" thickBot="1" x14ac:dyDescent="0.25">
      <c r="A1697" s="20"/>
      <c r="B1697" s="37"/>
      <c r="C1697" s="38"/>
      <c r="D1697" s="21"/>
      <c r="E1697" s="259"/>
      <c r="F1697" s="166"/>
    </row>
    <row r="1698" spans="1:7" ht="15" thickBot="1" x14ac:dyDescent="0.25">
      <c r="A1698" s="22" t="s">
        <v>234</v>
      </c>
      <c r="B1698" s="41" t="s">
        <v>235</v>
      </c>
      <c r="C1698" s="42" t="s">
        <v>236</v>
      </c>
      <c r="D1698" s="23" t="s">
        <v>237</v>
      </c>
      <c r="E1698" s="260" t="s">
        <v>67</v>
      </c>
      <c r="F1698" s="167" t="s">
        <v>238</v>
      </c>
    </row>
    <row r="1699" spans="1:7" ht="15.75" thickTop="1" x14ac:dyDescent="0.25">
      <c r="A1699" s="24" t="s">
        <v>239</v>
      </c>
      <c r="B1699" s="44"/>
      <c r="C1699" s="45"/>
      <c r="D1699" s="25"/>
      <c r="E1699" s="261"/>
      <c r="F1699" s="168"/>
    </row>
    <row r="1700" spans="1:7" x14ac:dyDescent="0.2">
      <c r="A1700" s="27" t="s">
        <v>283</v>
      </c>
      <c r="B1700" s="44">
        <v>2297</v>
      </c>
      <c r="C1700" s="45">
        <v>1.5</v>
      </c>
      <c r="D1700" s="25" t="s">
        <v>104</v>
      </c>
      <c r="E1700" s="261">
        <v>0</v>
      </c>
      <c r="F1700" s="168">
        <f>+B1700*C1700*(1+E1700)</f>
        <v>3445.5</v>
      </c>
    </row>
    <row r="1701" spans="1:7" x14ac:dyDescent="0.2">
      <c r="A1701" s="27" t="s">
        <v>284</v>
      </c>
      <c r="B1701" s="44">
        <v>91914</v>
      </c>
      <c r="C1701" s="45">
        <v>1</v>
      </c>
      <c r="D1701" s="25" t="s">
        <v>369</v>
      </c>
      <c r="E1701" s="261">
        <v>0</v>
      </c>
      <c r="F1701" s="168">
        <f>+B1701*C1701*(1+E1701)</f>
        <v>91914</v>
      </c>
    </row>
    <row r="1702" spans="1:7" x14ac:dyDescent="0.2">
      <c r="A1702" s="27" t="s">
        <v>286</v>
      </c>
      <c r="B1702" s="44">
        <v>16331</v>
      </c>
      <c r="C1702" s="45">
        <v>7.0000000000000007E-2</v>
      </c>
      <c r="D1702" s="25" t="s">
        <v>111</v>
      </c>
      <c r="E1702" s="261">
        <v>0</v>
      </c>
      <c r="F1702" s="168">
        <f>+B1702*C1702*(1+E1702)</f>
        <v>1143.17</v>
      </c>
    </row>
    <row r="1703" spans="1:7" x14ac:dyDescent="0.2">
      <c r="A1703" s="27" t="s">
        <v>288</v>
      </c>
      <c r="B1703" s="44">
        <v>35014</v>
      </c>
      <c r="C1703" s="45">
        <v>0.1</v>
      </c>
      <c r="D1703" s="25" t="s">
        <v>114</v>
      </c>
      <c r="E1703" s="261">
        <v>0</v>
      </c>
      <c r="F1703" s="168">
        <f>+B1703*C1703*(1+E1703)</f>
        <v>3501.4</v>
      </c>
    </row>
    <row r="1704" spans="1:7" x14ac:dyDescent="0.2">
      <c r="A1704" s="27" t="s">
        <v>290</v>
      </c>
      <c r="B1704" s="44">
        <v>81519</v>
      </c>
      <c r="C1704" s="54">
        <v>1</v>
      </c>
      <c r="D1704" s="25" t="s">
        <v>369</v>
      </c>
      <c r="E1704" s="261">
        <v>0</v>
      </c>
      <c r="F1704" s="168">
        <f>+B1704*C1704*(1+E1704)</f>
        <v>81519</v>
      </c>
    </row>
    <row r="1705" spans="1:7" ht="15" thickBot="1" x14ac:dyDescent="0.25">
      <c r="A1705" s="20"/>
      <c r="B1705" s="39"/>
      <c r="C1705" s="38"/>
      <c r="D1705" s="21"/>
      <c r="E1705" s="259"/>
      <c r="F1705" s="166"/>
      <c r="G1705" s="55">
        <f>SUM(F1700:F1704)</f>
        <v>181523.07</v>
      </c>
    </row>
    <row r="1706" spans="1:7" ht="15" x14ac:dyDescent="0.25">
      <c r="A1706" s="28" t="s">
        <v>240</v>
      </c>
      <c r="B1706" s="49"/>
      <c r="C1706" s="50"/>
      <c r="D1706" s="29"/>
      <c r="E1706" s="262"/>
      <c r="F1706" s="164"/>
    </row>
    <row r="1707" spans="1:7" x14ac:dyDescent="0.2">
      <c r="A1707" s="27" t="s">
        <v>158</v>
      </c>
      <c r="B1707" s="83">
        <v>13980.656500000001</v>
      </c>
      <c r="C1707" s="45">
        <v>1</v>
      </c>
      <c r="D1707" s="25" t="s">
        <v>101</v>
      </c>
      <c r="E1707" s="261">
        <v>0</v>
      </c>
      <c r="F1707" s="168">
        <f>+B1707*C1707*(1+E1707)</f>
        <v>13980.656500000001</v>
      </c>
    </row>
    <row r="1708" spans="1:7" x14ac:dyDescent="0.2">
      <c r="A1708" s="27"/>
      <c r="B1708" s="44"/>
      <c r="C1708" s="45"/>
      <c r="D1708" s="25"/>
      <c r="E1708" s="261"/>
      <c r="F1708" s="168"/>
    </row>
    <row r="1709" spans="1:7" ht="15" thickBot="1" x14ac:dyDescent="0.25">
      <c r="A1709" s="20"/>
      <c r="B1709" s="39"/>
      <c r="C1709" s="38"/>
      <c r="D1709" s="21"/>
      <c r="E1709" s="259"/>
      <c r="F1709" s="166"/>
    </row>
    <row r="1710" spans="1:7" ht="15" x14ac:dyDescent="0.25">
      <c r="A1710" s="28" t="s">
        <v>116</v>
      </c>
      <c r="B1710" s="49"/>
      <c r="C1710" s="50"/>
      <c r="D1710" s="29"/>
      <c r="E1710" s="262"/>
      <c r="F1710" s="164"/>
    </row>
    <row r="1711" spans="1:7" x14ac:dyDescent="0.2">
      <c r="A1711" s="27" t="s">
        <v>92</v>
      </c>
      <c r="B1711" s="83">
        <v>8388.3938999999991</v>
      </c>
      <c r="C1711" s="45">
        <v>1</v>
      </c>
      <c r="D1711" s="25" t="s">
        <v>85</v>
      </c>
      <c r="E1711" s="261">
        <v>0</v>
      </c>
      <c r="F1711" s="168">
        <f>+B1711*C1711*(1+E1711)</f>
        <v>8388.3938999999991</v>
      </c>
    </row>
    <row r="1712" spans="1:7" ht="15" thickBot="1" x14ac:dyDescent="0.25">
      <c r="A1712" s="20"/>
      <c r="B1712" s="39"/>
      <c r="C1712" s="38"/>
      <c r="D1712" s="21"/>
      <c r="E1712" s="259"/>
      <c r="F1712" s="166"/>
    </row>
    <row r="1713" spans="1:6" ht="15" x14ac:dyDescent="0.25">
      <c r="A1713" s="24" t="s">
        <v>70</v>
      </c>
      <c r="B1713" s="44"/>
      <c r="C1713" s="45"/>
      <c r="D1713" s="25"/>
      <c r="E1713" s="261"/>
      <c r="F1713" s="168"/>
    </row>
    <row r="1714" spans="1:6" x14ac:dyDescent="0.2">
      <c r="A1714" s="27" t="s">
        <v>70</v>
      </c>
      <c r="B1714" s="44">
        <v>9198.3962499999998</v>
      </c>
      <c r="C1714" s="45">
        <v>5</v>
      </c>
      <c r="D1714" s="25" t="s">
        <v>213</v>
      </c>
      <c r="E1714" s="261">
        <v>0</v>
      </c>
      <c r="F1714" s="168">
        <f>+B1714*C1714*(1+E1714)</f>
        <v>45991.981249999997</v>
      </c>
    </row>
    <row r="1715" spans="1:6" ht="15" thickBot="1" x14ac:dyDescent="0.25">
      <c r="A1715" s="27"/>
      <c r="B1715" s="44"/>
      <c r="C1715" s="45"/>
      <c r="D1715" s="25"/>
      <c r="E1715" s="261"/>
      <c r="F1715" s="168"/>
    </row>
    <row r="1716" spans="1:6" ht="15.75" thickBot="1" x14ac:dyDescent="0.3">
      <c r="A1716" s="30"/>
      <c r="B1716" s="52"/>
      <c r="C1716" s="53"/>
      <c r="D1716" s="31"/>
      <c r="E1716" s="263" t="s">
        <v>241</v>
      </c>
      <c r="F1716" s="169">
        <f>SUM(F1700:F1714)</f>
        <v>249884.10165000003</v>
      </c>
    </row>
    <row r="1718" spans="1:6" ht="15" thickBot="1" x14ac:dyDescent="0.25"/>
    <row r="1719" spans="1:6" x14ac:dyDescent="0.2">
      <c r="A1719" s="16" t="s">
        <v>50</v>
      </c>
      <c r="B1719" s="33"/>
      <c r="C1719" s="34"/>
      <c r="D1719" s="17"/>
      <c r="E1719" s="257"/>
      <c r="F1719" s="164"/>
    </row>
    <row r="1720" spans="1:6" ht="25.5" x14ac:dyDescent="0.2">
      <c r="A1720" s="90" t="s">
        <v>871</v>
      </c>
      <c r="B1720" s="91"/>
      <c r="C1720" s="92"/>
      <c r="D1720" s="91" t="s">
        <v>233</v>
      </c>
      <c r="E1720" s="264" t="s">
        <v>75</v>
      </c>
      <c r="F1720" s="170"/>
    </row>
    <row r="1721" spans="1:6" ht="15" thickBot="1" x14ac:dyDescent="0.25">
      <c r="A1721" s="20"/>
      <c r="B1721" s="37"/>
      <c r="C1721" s="38"/>
      <c r="D1721" s="21"/>
      <c r="E1721" s="259"/>
      <c r="F1721" s="166"/>
    </row>
    <row r="1722" spans="1:6" ht="15" thickBot="1" x14ac:dyDescent="0.25">
      <c r="A1722" s="22" t="s">
        <v>234</v>
      </c>
      <c r="B1722" s="41" t="s">
        <v>235</v>
      </c>
      <c r="C1722" s="42" t="s">
        <v>236</v>
      </c>
      <c r="D1722" s="23" t="s">
        <v>237</v>
      </c>
      <c r="E1722" s="260" t="s">
        <v>67</v>
      </c>
      <c r="F1722" s="167" t="s">
        <v>238</v>
      </c>
    </row>
    <row r="1723" spans="1:6" ht="15.75" thickTop="1" x14ac:dyDescent="0.25">
      <c r="A1723" s="24" t="s">
        <v>239</v>
      </c>
      <c r="B1723" s="44"/>
      <c r="C1723" s="45"/>
      <c r="D1723" s="25"/>
      <c r="E1723" s="261"/>
      <c r="F1723" s="168"/>
    </row>
    <row r="1724" spans="1:6" ht="28.5" x14ac:dyDescent="0.2">
      <c r="A1724" s="27" t="s">
        <v>295</v>
      </c>
      <c r="B1724" s="44">
        <v>14201</v>
      </c>
      <c r="C1724" s="45">
        <v>1</v>
      </c>
      <c r="D1724" s="25" t="s">
        <v>85</v>
      </c>
      <c r="E1724" s="261">
        <v>0.03</v>
      </c>
      <c r="F1724" s="168">
        <f>+B1724*C1724*(1+E1724)</f>
        <v>14627.03</v>
      </c>
    </row>
    <row r="1725" spans="1:6" x14ac:dyDescent="0.2">
      <c r="A1725" s="27" t="s">
        <v>296</v>
      </c>
      <c r="B1725" s="44">
        <v>30887</v>
      </c>
      <c r="C1725" s="45">
        <v>2</v>
      </c>
      <c r="D1725" s="25" t="s">
        <v>105</v>
      </c>
      <c r="E1725" s="261">
        <v>0.03</v>
      </c>
      <c r="F1725" s="168">
        <f>+B1725*C1725*(1+E1725)</f>
        <v>63627.22</v>
      </c>
    </row>
    <row r="1726" spans="1:6" x14ac:dyDescent="0.2">
      <c r="A1726" s="27" t="s">
        <v>297</v>
      </c>
      <c r="B1726" s="44">
        <v>16331</v>
      </c>
      <c r="C1726" s="45">
        <v>0.05</v>
      </c>
      <c r="D1726" s="25" t="s">
        <v>111</v>
      </c>
      <c r="E1726" s="261">
        <v>0</v>
      </c>
      <c r="F1726" s="168">
        <f>+B1726*C1726*(1+E1726)</f>
        <v>816.55000000000007</v>
      </c>
    </row>
    <row r="1727" spans="1:6" x14ac:dyDescent="0.2">
      <c r="A1727" s="27" t="s">
        <v>288</v>
      </c>
      <c r="B1727" s="44">
        <v>35014</v>
      </c>
      <c r="C1727" s="45">
        <v>0.03</v>
      </c>
      <c r="D1727" s="25" t="s">
        <v>114</v>
      </c>
      <c r="E1727" s="261">
        <v>0</v>
      </c>
      <c r="F1727" s="168">
        <f>+B1727*C1727*(1+E1727)</f>
        <v>1050.42</v>
      </c>
    </row>
    <row r="1728" spans="1:6" x14ac:dyDescent="0.2">
      <c r="A1728" s="27" t="s">
        <v>298</v>
      </c>
      <c r="B1728" s="44">
        <v>3217</v>
      </c>
      <c r="C1728" s="45">
        <v>3</v>
      </c>
      <c r="D1728" s="25" t="s">
        <v>105</v>
      </c>
      <c r="E1728" s="261">
        <v>0</v>
      </c>
      <c r="F1728" s="168">
        <f>+B1728*C1728*(1+E1728)</f>
        <v>9651</v>
      </c>
    </row>
    <row r="1729" spans="1:7" ht="15" thickBot="1" x14ac:dyDescent="0.25">
      <c r="A1729" s="20"/>
      <c r="B1729" s="39"/>
      <c r="C1729" s="38"/>
      <c r="D1729" s="21"/>
      <c r="E1729" s="259"/>
      <c r="F1729" s="166"/>
      <c r="G1729" s="15">
        <f>SUM(F1724:F1728)</f>
        <v>89772.22</v>
      </c>
    </row>
    <row r="1730" spans="1:7" ht="15" x14ac:dyDescent="0.25">
      <c r="A1730" s="28" t="s">
        <v>240</v>
      </c>
      <c r="B1730" s="49"/>
      <c r="C1730" s="50"/>
      <c r="D1730" s="29"/>
      <c r="E1730" s="262"/>
      <c r="F1730" s="164"/>
    </row>
    <row r="1731" spans="1:7" x14ac:dyDescent="0.2">
      <c r="A1731" s="27" t="s">
        <v>158</v>
      </c>
      <c r="B1731" s="83">
        <v>4488.6109999999999</v>
      </c>
      <c r="C1731" s="45">
        <v>1</v>
      </c>
      <c r="D1731" s="25" t="s">
        <v>101</v>
      </c>
      <c r="E1731" s="261">
        <v>0</v>
      </c>
      <c r="F1731" s="168">
        <f>+B1731*C1731*(1+E1731)</f>
        <v>4488.6109999999999</v>
      </c>
    </row>
    <row r="1732" spans="1:7" ht="15" thickBot="1" x14ac:dyDescent="0.25">
      <c r="A1732" s="20"/>
      <c r="B1732" s="39"/>
      <c r="C1732" s="38"/>
      <c r="D1732" s="21"/>
      <c r="E1732" s="259"/>
      <c r="F1732" s="166"/>
    </row>
    <row r="1733" spans="1:7" ht="15" x14ac:dyDescent="0.25">
      <c r="A1733" s="28" t="s">
        <v>116</v>
      </c>
      <c r="B1733" s="49"/>
      <c r="C1733" s="50"/>
      <c r="D1733" s="29"/>
      <c r="E1733" s="262"/>
      <c r="F1733" s="164"/>
    </row>
    <row r="1734" spans="1:7" x14ac:dyDescent="0.2">
      <c r="A1734" s="27" t="s">
        <v>92</v>
      </c>
      <c r="B1734" s="83">
        <v>2693.1666</v>
      </c>
      <c r="C1734" s="45">
        <v>1</v>
      </c>
      <c r="D1734" s="25" t="s">
        <v>85</v>
      </c>
      <c r="E1734" s="261">
        <v>0</v>
      </c>
      <c r="F1734" s="168">
        <f>+B1734*C1734*(1+E1734)</f>
        <v>2693.1666</v>
      </c>
    </row>
    <row r="1735" spans="1:7" ht="15" thickBot="1" x14ac:dyDescent="0.25">
      <c r="A1735" s="20"/>
      <c r="B1735" s="39"/>
      <c r="C1735" s="38"/>
      <c r="D1735" s="21"/>
      <c r="E1735" s="259"/>
      <c r="F1735" s="166"/>
    </row>
    <row r="1736" spans="1:7" ht="15" x14ac:dyDescent="0.25">
      <c r="A1736" s="24" t="s">
        <v>70</v>
      </c>
      <c r="B1736" s="44"/>
      <c r="C1736" s="45"/>
      <c r="D1736" s="25"/>
      <c r="E1736" s="261"/>
      <c r="F1736" s="168"/>
    </row>
    <row r="1737" spans="1:7" x14ac:dyDescent="0.2">
      <c r="A1737" s="27" t="s">
        <v>70</v>
      </c>
      <c r="B1737" s="44">
        <v>9198.3962499999998</v>
      </c>
      <c r="C1737" s="45">
        <v>3</v>
      </c>
      <c r="D1737" s="25" t="s">
        <v>213</v>
      </c>
      <c r="E1737" s="261">
        <v>0</v>
      </c>
      <c r="F1737" s="168">
        <f>+B1737*C1737*(1+E1737)</f>
        <v>27595.188750000001</v>
      </c>
    </row>
    <row r="1738" spans="1:7" ht="15" thickBot="1" x14ac:dyDescent="0.25">
      <c r="A1738" s="27"/>
      <c r="B1738" s="44"/>
      <c r="C1738" s="45"/>
      <c r="D1738" s="25"/>
      <c r="E1738" s="261"/>
      <c r="F1738" s="168"/>
    </row>
    <row r="1739" spans="1:7" ht="15.75" thickBot="1" x14ac:dyDescent="0.3">
      <c r="A1739" s="30"/>
      <c r="B1739" s="52"/>
      <c r="C1739" s="53"/>
      <c r="D1739" s="31"/>
      <c r="E1739" s="263" t="s">
        <v>241</v>
      </c>
      <c r="F1739" s="169">
        <f>SUM(F1724:F1737)</f>
        <v>124549.18635</v>
      </c>
    </row>
    <row r="1742" spans="1:7" ht="15" thickBot="1" x14ac:dyDescent="0.25"/>
    <row r="1743" spans="1:7" x14ac:dyDescent="0.2">
      <c r="A1743" s="16" t="s">
        <v>50</v>
      </c>
      <c r="B1743" s="33"/>
      <c r="C1743" s="34"/>
      <c r="D1743" s="17"/>
      <c r="E1743" s="257"/>
      <c r="F1743" s="164"/>
    </row>
    <row r="1744" spans="1:7" x14ac:dyDescent="0.2">
      <c r="A1744" s="90" t="s">
        <v>430</v>
      </c>
      <c r="B1744" s="91"/>
      <c r="C1744" s="92"/>
      <c r="D1744" s="91" t="s">
        <v>233</v>
      </c>
      <c r="E1744" s="264" t="s">
        <v>75</v>
      </c>
      <c r="F1744" s="170"/>
    </row>
    <row r="1745" spans="1:7" ht="15" thickBot="1" x14ac:dyDescent="0.25">
      <c r="A1745" s="20"/>
      <c r="B1745" s="37"/>
      <c r="C1745" s="38"/>
      <c r="D1745" s="21"/>
      <c r="E1745" s="259"/>
      <c r="F1745" s="166"/>
    </row>
    <row r="1746" spans="1:7" ht="15" thickBot="1" x14ac:dyDescent="0.25">
      <c r="A1746" s="22" t="s">
        <v>234</v>
      </c>
      <c r="B1746" s="41" t="s">
        <v>235</v>
      </c>
      <c r="C1746" s="42" t="s">
        <v>236</v>
      </c>
      <c r="D1746" s="23" t="s">
        <v>237</v>
      </c>
      <c r="E1746" s="260" t="s">
        <v>67</v>
      </c>
      <c r="F1746" s="167" t="s">
        <v>238</v>
      </c>
    </row>
    <row r="1747" spans="1:7" ht="15.75" thickTop="1" x14ac:dyDescent="0.25">
      <c r="A1747" s="24" t="s">
        <v>239</v>
      </c>
      <c r="B1747" s="44"/>
      <c r="C1747" s="45"/>
      <c r="D1747" s="25"/>
      <c r="E1747" s="261"/>
      <c r="F1747" s="168"/>
    </row>
    <row r="1748" spans="1:7" x14ac:dyDescent="0.2">
      <c r="A1748" s="27" t="s">
        <v>431</v>
      </c>
      <c r="B1748" s="44">
        <v>37500</v>
      </c>
      <c r="C1748" s="45">
        <v>0.06</v>
      </c>
      <c r="D1748" s="25" t="s">
        <v>437</v>
      </c>
      <c r="E1748" s="261">
        <v>0.03</v>
      </c>
      <c r="F1748" s="168">
        <f t="shared" ref="F1748:F1755" si="27">+B1748*C1748*(1+E1748)</f>
        <v>2317.5</v>
      </c>
    </row>
    <row r="1749" spans="1:7" x14ac:dyDescent="0.2">
      <c r="A1749" s="27" t="s">
        <v>432</v>
      </c>
      <c r="B1749" s="44">
        <v>11900</v>
      </c>
      <c r="C1749" s="45">
        <v>0.25</v>
      </c>
      <c r="D1749" s="25" t="s">
        <v>438</v>
      </c>
      <c r="E1749" s="261">
        <v>0.03</v>
      </c>
      <c r="F1749" s="168">
        <f t="shared" si="27"/>
        <v>3064.25</v>
      </c>
    </row>
    <row r="1750" spans="1:7" ht="18" customHeight="1" x14ac:dyDescent="0.2">
      <c r="A1750" s="93" t="s">
        <v>435</v>
      </c>
      <c r="B1750" s="44">
        <v>75550</v>
      </c>
      <c r="C1750" s="45">
        <v>0.75</v>
      </c>
      <c r="D1750" s="25" t="s">
        <v>369</v>
      </c>
      <c r="E1750" s="261">
        <v>0</v>
      </c>
      <c r="F1750" s="168">
        <f t="shared" si="27"/>
        <v>56662.5</v>
      </c>
    </row>
    <row r="1751" spans="1:7" x14ac:dyDescent="0.2">
      <c r="A1751" s="27" t="s">
        <v>436</v>
      </c>
      <c r="B1751" s="44">
        <v>12570</v>
      </c>
      <c r="C1751" s="45">
        <v>1</v>
      </c>
      <c r="D1751" s="25" t="s">
        <v>2</v>
      </c>
      <c r="E1751" s="261">
        <v>0</v>
      </c>
      <c r="F1751" s="168">
        <f t="shared" si="27"/>
        <v>12570</v>
      </c>
    </row>
    <row r="1752" spans="1:7" x14ac:dyDescent="0.2">
      <c r="A1752" s="27" t="s">
        <v>433</v>
      </c>
      <c r="B1752" s="44">
        <v>1200</v>
      </c>
      <c r="C1752" s="45">
        <v>2</v>
      </c>
      <c r="D1752" s="25" t="s">
        <v>439</v>
      </c>
      <c r="E1752" s="261">
        <v>0</v>
      </c>
      <c r="F1752" s="168">
        <f t="shared" si="27"/>
        <v>2400</v>
      </c>
    </row>
    <row r="1753" spans="1:7" x14ac:dyDescent="0.2">
      <c r="A1753" s="27" t="s">
        <v>434</v>
      </c>
      <c r="B1753" s="44">
        <v>8700</v>
      </c>
      <c r="C1753" s="45">
        <v>1</v>
      </c>
      <c r="D1753" s="25" t="s">
        <v>440</v>
      </c>
      <c r="E1753" s="261">
        <v>0</v>
      </c>
      <c r="F1753" s="168">
        <f t="shared" si="27"/>
        <v>8700</v>
      </c>
    </row>
    <row r="1754" spans="1:7" x14ac:dyDescent="0.2">
      <c r="A1754" s="27" t="s">
        <v>441</v>
      </c>
      <c r="B1754" s="44">
        <v>34000</v>
      </c>
      <c r="C1754" s="45">
        <v>0.7</v>
      </c>
      <c r="D1754" s="25" t="s">
        <v>369</v>
      </c>
      <c r="E1754" s="261">
        <v>0</v>
      </c>
      <c r="F1754" s="168">
        <f t="shared" si="27"/>
        <v>23800</v>
      </c>
    </row>
    <row r="1755" spans="1:7" x14ac:dyDescent="0.2">
      <c r="A1755" s="27" t="s">
        <v>442</v>
      </c>
      <c r="B1755" s="44">
        <v>38462</v>
      </c>
      <c r="C1755" s="45">
        <v>0.02</v>
      </c>
      <c r="D1755" s="25" t="s">
        <v>114</v>
      </c>
      <c r="E1755" s="261">
        <v>0</v>
      </c>
      <c r="F1755" s="168">
        <f t="shared" si="27"/>
        <v>769.24</v>
      </c>
    </row>
    <row r="1756" spans="1:7" x14ac:dyDescent="0.2">
      <c r="A1756" s="27"/>
      <c r="B1756" s="44"/>
      <c r="C1756" s="45"/>
      <c r="D1756" s="25"/>
      <c r="E1756" s="261"/>
      <c r="F1756" s="168"/>
    </row>
    <row r="1757" spans="1:7" ht="15" thickBot="1" x14ac:dyDescent="0.25">
      <c r="A1757" s="20"/>
      <c r="B1757" s="39"/>
      <c r="C1757" s="38"/>
      <c r="D1757" s="21"/>
      <c r="E1757" s="259"/>
      <c r="F1757" s="166"/>
      <c r="G1757" s="15">
        <f>SUM(F1748:F1753)</f>
        <v>85714.25</v>
      </c>
    </row>
    <row r="1758" spans="1:7" ht="15" x14ac:dyDescent="0.25">
      <c r="A1758" s="28" t="s">
        <v>240</v>
      </c>
      <c r="B1758" s="49"/>
      <c r="C1758" s="50"/>
      <c r="D1758" s="29"/>
      <c r="E1758" s="262"/>
      <c r="F1758" s="164"/>
    </row>
    <row r="1759" spans="1:7" x14ac:dyDescent="0.2">
      <c r="A1759" s="27" t="s">
        <v>158</v>
      </c>
      <c r="B1759" s="83">
        <v>4285.7125000000005</v>
      </c>
      <c r="C1759" s="45">
        <v>1</v>
      </c>
      <c r="D1759" s="25" t="s">
        <v>101</v>
      </c>
      <c r="E1759" s="261">
        <v>0</v>
      </c>
      <c r="F1759" s="168">
        <f>+B1759*C1759*(1+E1759)</f>
        <v>4285.7125000000005</v>
      </c>
    </row>
    <row r="1760" spans="1:7" ht="15" thickBot="1" x14ac:dyDescent="0.25">
      <c r="A1760" s="20"/>
      <c r="B1760" s="39"/>
      <c r="C1760" s="38"/>
      <c r="D1760" s="21"/>
      <c r="E1760" s="259"/>
      <c r="F1760" s="166"/>
    </row>
    <row r="1761" spans="1:6" ht="15" x14ac:dyDescent="0.25">
      <c r="A1761" s="28" t="s">
        <v>116</v>
      </c>
      <c r="B1761" s="49"/>
      <c r="C1761" s="50"/>
      <c r="D1761" s="29"/>
      <c r="E1761" s="262"/>
      <c r="F1761" s="164"/>
    </row>
    <row r="1762" spans="1:6" x14ac:dyDescent="0.2">
      <c r="A1762" s="27" t="s">
        <v>92</v>
      </c>
      <c r="B1762" s="83">
        <v>2571.4274999999998</v>
      </c>
      <c r="C1762" s="45">
        <v>1</v>
      </c>
      <c r="D1762" s="25" t="s">
        <v>85</v>
      </c>
      <c r="E1762" s="261">
        <v>0</v>
      </c>
      <c r="F1762" s="168">
        <f>+B1762*C1762*(1+E1762)</f>
        <v>2571.4274999999998</v>
      </c>
    </row>
    <row r="1763" spans="1:6" ht="15" thickBot="1" x14ac:dyDescent="0.25">
      <c r="A1763" s="20"/>
      <c r="B1763" s="39"/>
      <c r="C1763" s="38"/>
      <c r="D1763" s="21"/>
      <c r="E1763" s="259"/>
      <c r="F1763" s="166"/>
    </row>
    <row r="1764" spans="1:6" ht="15" x14ac:dyDescent="0.25">
      <c r="A1764" s="24" t="s">
        <v>70</v>
      </c>
      <c r="B1764" s="44"/>
      <c r="C1764" s="45"/>
      <c r="D1764" s="25"/>
      <c r="E1764" s="261"/>
      <c r="F1764" s="168"/>
    </row>
    <row r="1765" spans="1:6" x14ac:dyDescent="0.2">
      <c r="A1765" s="27" t="s">
        <v>70</v>
      </c>
      <c r="B1765" s="44">
        <v>9198.3962499999998</v>
      </c>
      <c r="C1765" s="45">
        <v>3</v>
      </c>
      <c r="D1765" s="25" t="s">
        <v>213</v>
      </c>
      <c r="E1765" s="261">
        <v>0</v>
      </c>
      <c r="F1765" s="168">
        <f>+B1765*C1765*(1+E1765)</f>
        <v>27595.188750000001</v>
      </c>
    </row>
    <row r="1766" spans="1:6" ht="15" thickBot="1" x14ac:dyDescent="0.25">
      <c r="A1766" s="27"/>
      <c r="B1766" s="44"/>
      <c r="C1766" s="45"/>
      <c r="D1766" s="25"/>
      <c r="E1766" s="261"/>
      <c r="F1766" s="168"/>
    </row>
    <row r="1767" spans="1:6" ht="15.75" thickBot="1" x14ac:dyDescent="0.3">
      <c r="A1767" s="30"/>
      <c r="B1767" s="52"/>
      <c r="C1767" s="53"/>
      <c r="D1767" s="31"/>
      <c r="E1767" s="263" t="s">
        <v>241</v>
      </c>
      <c r="F1767" s="169">
        <f>SUM(F1748:F1765)</f>
        <v>144735.81875000001</v>
      </c>
    </row>
    <row r="1768" spans="1:6" ht="15" x14ac:dyDescent="0.25">
      <c r="A1768" s="26"/>
      <c r="B1768" s="44"/>
      <c r="C1768" s="45"/>
      <c r="D1768" s="25"/>
      <c r="E1768" s="271"/>
      <c r="F1768" s="176"/>
    </row>
    <row r="1769" spans="1:6" ht="15" x14ac:dyDescent="0.25">
      <c r="A1769" s="26"/>
      <c r="B1769" s="44"/>
      <c r="C1769" s="45"/>
      <c r="D1769" s="25"/>
      <c r="E1769" s="271"/>
      <c r="F1769" s="176"/>
    </row>
    <row r="1770" spans="1:6" ht="15" x14ac:dyDescent="0.25">
      <c r="A1770" s="26"/>
      <c r="B1770" s="44"/>
      <c r="C1770" s="45"/>
      <c r="D1770" s="25"/>
      <c r="E1770" s="271"/>
      <c r="F1770" s="176"/>
    </row>
    <row r="1771" spans="1:6" ht="15" x14ac:dyDescent="0.25">
      <c r="A1771" s="26"/>
      <c r="B1771" s="44"/>
      <c r="C1771" s="45"/>
      <c r="D1771" s="25"/>
      <c r="E1771" s="271"/>
      <c r="F1771" s="176"/>
    </row>
    <row r="1772" spans="1:6" ht="15" thickBot="1" x14ac:dyDescent="0.25"/>
    <row r="1773" spans="1:6" x14ac:dyDescent="0.2">
      <c r="A1773" s="16" t="s">
        <v>291</v>
      </c>
      <c r="B1773" s="33"/>
      <c r="C1773" s="34"/>
      <c r="D1773" s="17"/>
      <c r="E1773" s="257"/>
      <c r="F1773" s="164"/>
    </row>
    <row r="1774" spans="1:6" ht="25.5" x14ac:dyDescent="0.2">
      <c r="A1774" s="90" t="s">
        <v>292</v>
      </c>
      <c r="B1774" s="91"/>
      <c r="C1774" s="92"/>
      <c r="D1774" s="91" t="s">
        <v>233</v>
      </c>
      <c r="E1774" s="264" t="s">
        <v>75</v>
      </c>
      <c r="F1774" s="170"/>
    </row>
    <row r="1775" spans="1:6" ht="15" thickBot="1" x14ac:dyDescent="0.25">
      <c r="A1775" s="20"/>
      <c r="B1775" s="37"/>
      <c r="C1775" s="38"/>
      <c r="D1775" s="21"/>
      <c r="E1775" s="259"/>
      <c r="F1775" s="166"/>
    </row>
    <row r="1776" spans="1:6" ht="15" thickBot="1" x14ac:dyDescent="0.25">
      <c r="A1776" s="22" t="s">
        <v>234</v>
      </c>
      <c r="B1776" s="41" t="s">
        <v>235</v>
      </c>
      <c r="C1776" s="42" t="s">
        <v>236</v>
      </c>
      <c r="D1776" s="23" t="s">
        <v>237</v>
      </c>
      <c r="E1776" s="260" t="s">
        <v>67</v>
      </c>
      <c r="F1776" s="167" t="s">
        <v>238</v>
      </c>
    </row>
    <row r="1777" spans="1:7" ht="15.75" thickTop="1" x14ac:dyDescent="0.25">
      <c r="A1777" s="24" t="s">
        <v>239</v>
      </c>
      <c r="B1777" s="44"/>
      <c r="C1777" s="45"/>
      <c r="D1777" s="25"/>
      <c r="E1777" s="261"/>
      <c r="F1777" s="168"/>
    </row>
    <row r="1778" spans="1:7" x14ac:dyDescent="0.2">
      <c r="A1778" s="27" t="s">
        <v>223</v>
      </c>
      <c r="B1778" s="44">
        <v>35400</v>
      </c>
      <c r="C1778" s="45">
        <v>0.1111111111111111</v>
      </c>
      <c r="D1778" s="25" t="s">
        <v>224</v>
      </c>
      <c r="E1778" s="261">
        <v>0.03</v>
      </c>
      <c r="F1778" s="168">
        <f>+B1778*C1778*(1+E1778)</f>
        <v>4051.333333333333</v>
      </c>
    </row>
    <row r="1779" spans="1:7" x14ac:dyDescent="0.2">
      <c r="A1779" s="27" t="s">
        <v>72</v>
      </c>
      <c r="B1779" s="44">
        <v>1900</v>
      </c>
      <c r="C1779" s="45">
        <v>0.9</v>
      </c>
      <c r="D1779" s="25" t="s">
        <v>111</v>
      </c>
      <c r="E1779" s="261">
        <v>0.03</v>
      </c>
      <c r="F1779" s="168">
        <f>+B1779*C1779*(1+E1779)</f>
        <v>1761.3</v>
      </c>
    </row>
    <row r="1780" spans="1:7" x14ac:dyDescent="0.2">
      <c r="A1780" s="27" t="s">
        <v>222</v>
      </c>
      <c r="B1780" s="44">
        <v>35000</v>
      </c>
      <c r="C1780" s="45">
        <v>1</v>
      </c>
      <c r="D1780" s="25" t="s">
        <v>85</v>
      </c>
      <c r="E1780" s="261">
        <v>0.05</v>
      </c>
      <c r="F1780" s="168">
        <f>+B1780*C1780*(1+E1780)</f>
        <v>36750</v>
      </c>
    </row>
    <row r="1781" spans="1:7" ht="15" thickBot="1" x14ac:dyDescent="0.25">
      <c r="A1781" s="20"/>
      <c r="B1781" s="39"/>
      <c r="C1781" s="38"/>
      <c r="D1781" s="21"/>
      <c r="E1781" s="259"/>
      <c r="F1781" s="166"/>
      <c r="G1781" s="15">
        <f>SUM(F1778:F1780)</f>
        <v>42562.633333333331</v>
      </c>
    </row>
    <row r="1782" spans="1:7" ht="15" x14ac:dyDescent="0.25">
      <c r="A1782" s="28" t="s">
        <v>240</v>
      </c>
      <c r="B1782" s="49"/>
      <c r="C1782" s="50"/>
      <c r="D1782" s="29"/>
      <c r="E1782" s="262"/>
      <c r="F1782" s="164"/>
    </row>
    <row r="1783" spans="1:7" x14ac:dyDescent="0.2">
      <c r="A1783" s="27" t="s">
        <v>158</v>
      </c>
      <c r="B1783" s="83">
        <v>2128.1316666666667</v>
      </c>
      <c r="C1783" s="45">
        <v>1</v>
      </c>
      <c r="D1783" s="25" t="s">
        <v>101</v>
      </c>
      <c r="E1783" s="261">
        <v>0</v>
      </c>
      <c r="F1783" s="168">
        <f>+B1783*C1783*(1+E1783)</f>
        <v>2128.1316666666667</v>
      </c>
    </row>
    <row r="1784" spans="1:7" x14ac:dyDescent="0.2">
      <c r="A1784" s="27"/>
      <c r="B1784" s="44"/>
      <c r="C1784" s="45"/>
      <c r="D1784" s="25"/>
      <c r="E1784" s="261"/>
      <c r="F1784" s="168"/>
    </row>
    <row r="1785" spans="1:7" ht="15" thickBot="1" x14ac:dyDescent="0.25">
      <c r="A1785" s="20"/>
      <c r="B1785" s="39"/>
      <c r="C1785" s="38"/>
      <c r="D1785" s="21"/>
      <c r="E1785" s="259"/>
      <c r="F1785" s="166"/>
    </row>
    <row r="1786" spans="1:7" ht="15" x14ac:dyDescent="0.25">
      <c r="A1786" s="28" t="s">
        <v>116</v>
      </c>
      <c r="B1786" s="49"/>
      <c r="C1786" s="50"/>
      <c r="D1786" s="29"/>
      <c r="E1786" s="262"/>
      <c r="F1786" s="164"/>
    </row>
    <row r="1787" spans="1:7" x14ac:dyDescent="0.2">
      <c r="A1787" s="27" t="s">
        <v>92</v>
      </c>
      <c r="B1787" s="83">
        <v>1276.8789999999999</v>
      </c>
      <c r="C1787" s="45">
        <v>1</v>
      </c>
      <c r="D1787" s="25" t="s">
        <v>85</v>
      </c>
      <c r="E1787" s="261">
        <v>0</v>
      </c>
      <c r="F1787" s="168">
        <f>+B1787*C1787*(1+E1787)</f>
        <v>1276.8789999999999</v>
      </c>
    </row>
    <row r="1788" spans="1:7" ht="15" thickBot="1" x14ac:dyDescent="0.25">
      <c r="A1788" s="20"/>
      <c r="B1788" s="39"/>
      <c r="C1788" s="38"/>
      <c r="D1788" s="21"/>
      <c r="E1788" s="259"/>
      <c r="F1788" s="166"/>
    </row>
    <row r="1789" spans="1:7" ht="15" x14ac:dyDescent="0.25">
      <c r="A1789" s="24" t="s">
        <v>70</v>
      </c>
      <c r="B1789" s="44"/>
      <c r="C1789" s="45"/>
      <c r="D1789" s="25"/>
      <c r="E1789" s="261"/>
      <c r="F1789" s="168"/>
    </row>
    <row r="1790" spans="1:7" x14ac:dyDescent="0.2">
      <c r="A1790" s="27" t="s">
        <v>70</v>
      </c>
      <c r="B1790" s="44">
        <v>9198.3962499999998</v>
      </c>
      <c r="C1790" s="45">
        <v>1.4</v>
      </c>
      <c r="D1790" s="25" t="s">
        <v>213</v>
      </c>
      <c r="E1790" s="261">
        <v>0</v>
      </c>
      <c r="F1790" s="168">
        <f>+B1790*C1790*(1+E1790)</f>
        <v>12877.754749999998</v>
      </c>
    </row>
    <row r="1791" spans="1:7" x14ac:dyDescent="0.2">
      <c r="A1791" s="27"/>
      <c r="B1791" s="44"/>
      <c r="C1791" s="45"/>
      <c r="D1791" s="25"/>
      <c r="E1791" s="261"/>
      <c r="F1791" s="168"/>
    </row>
    <row r="1792" spans="1:7" ht="15" thickBot="1" x14ac:dyDescent="0.25">
      <c r="A1792" s="27"/>
      <c r="B1792" s="44"/>
      <c r="C1792" s="45"/>
      <c r="D1792" s="25"/>
      <c r="E1792" s="261"/>
      <c r="F1792" s="168"/>
    </row>
    <row r="1793" spans="1:7" ht="15.75" thickBot="1" x14ac:dyDescent="0.3">
      <c r="A1793" s="30"/>
      <c r="B1793" s="52"/>
      <c r="C1793" s="53"/>
      <c r="D1793" s="31"/>
      <c r="E1793" s="263" t="s">
        <v>241</v>
      </c>
      <c r="F1793" s="169">
        <f>SUM(F1778:F1790)</f>
        <v>58845.39875</v>
      </c>
    </row>
    <row r="1796" spans="1:7" ht="15" thickBot="1" x14ac:dyDescent="0.25"/>
    <row r="1797" spans="1:7" x14ac:dyDescent="0.2">
      <c r="A1797" s="16" t="s">
        <v>291</v>
      </c>
      <c r="B1797" s="33"/>
      <c r="C1797" s="34"/>
      <c r="D1797" s="17"/>
      <c r="E1797" s="257"/>
      <c r="F1797" s="164"/>
    </row>
    <row r="1798" spans="1:7" x14ac:dyDescent="0.2">
      <c r="A1798" s="90" t="s">
        <v>375</v>
      </c>
      <c r="B1798" s="91"/>
      <c r="C1798" s="92"/>
      <c r="D1798" s="91" t="s">
        <v>233</v>
      </c>
      <c r="E1798" s="264" t="s">
        <v>75</v>
      </c>
      <c r="F1798" s="170"/>
    </row>
    <row r="1799" spans="1:7" ht="15" thickBot="1" x14ac:dyDescent="0.25">
      <c r="A1799" s="20"/>
      <c r="B1799" s="37"/>
      <c r="C1799" s="38"/>
      <c r="D1799" s="21"/>
      <c r="E1799" s="259"/>
      <c r="F1799" s="166"/>
    </row>
    <row r="1800" spans="1:7" ht="15" thickBot="1" x14ac:dyDescent="0.25">
      <c r="A1800" s="22" t="s">
        <v>234</v>
      </c>
      <c r="B1800" s="41" t="s">
        <v>235</v>
      </c>
      <c r="C1800" s="42" t="s">
        <v>236</v>
      </c>
      <c r="D1800" s="23" t="s">
        <v>237</v>
      </c>
      <c r="E1800" s="260" t="s">
        <v>67</v>
      </c>
      <c r="F1800" s="167" t="s">
        <v>238</v>
      </c>
    </row>
    <row r="1801" spans="1:7" ht="15.75" thickTop="1" x14ac:dyDescent="0.25">
      <c r="A1801" s="24" t="s">
        <v>239</v>
      </c>
      <c r="B1801" s="44"/>
      <c r="C1801" s="45"/>
      <c r="D1801" s="25"/>
      <c r="E1801" s="261"/>
      <c r="F1801" s="168"/>
    </row>
    <row r="1802" spans="1:7" x14ac:dyDescent="0.2">
      <c r="A1802" s="27" t="s">
        <v>118</v>
      </c>
      <c r="B1802" s="44">
        <v>35000</v>
      </c>
      <c r="C1802" s="45">
        <v>0.01</v>
      </c>
      <c r="D1802" s="25" t="s">
        <v>119</v>
      </c>
      <c r="E1802" s="261">
        <v>7.0000000000000007E-2</v>
      </c>
      <c r="F1802" s="168">
        <f>+B1802*C1802*(1+E1802)</f>
        <v>374.5</v>
      </c>
    </row>
    <row r="1803" spans="1:7" x14ac:dyDescent="0.2">
      <c r="A1803" s="27" t="s">
        <v>120</v>
      </c>
      <c r="B1803" s="44">
        <v>26000</v>
      </c>
      <c r="C1803" s="45">
        <v>0.01</v>
      </c>
      <c r="D1803" s="25" t="s">
        <v>119</v>
      </c>
      <c r="E1803" s="261">
        <v>0.05</v>
      </c>
      <c r="F1803" s="168">
        <f>+B1803*C1803*(1+E1803)</f>
        <v>273</v>
      </c>
    </row>
    <row r="1804" spans="1:7" x14ac:dyDescent="0.2">
      <c r="A1804" s="27" t="s">
        <v>66</v>
      </c>
      <c r="B1804" s="44">
        <v>18500</v>
      </c>
      <c r="C1804" s="45">
        <v>0.25</v>
      </c>
      <c r="D1804" s="25" t="s">
        <v>111</v>
      </c>
      <c r="E1804" s="261">
        <v>0.05</v>
      </c>
      <c r="F1804" s="168">
        <f>+B1804*C1804*(1+E1804)</f>
        <v>4856.25</v>
      </c>
    </row>
    <row r="1805" spans="1:7" ht="15" thickBot="1" x14ac:dyDescent="0.25">
      <c r="A1805" s="20"/>
      <c r="B1805" s="39"/>
      <c r="C1805" s="38"/>
      <c r="D1805" s="21"/>
      <c r="E1805" s="259"/>
      <c r="F1805" s="166"/>
      <c r="G1805" s="15">
        <f>SUM(F1802:F1804)</f>
        <v>5503.75</v>
      </c>
    </row>
    <row r="1806" spans="1:7" ht="15" x14ac:dyDescent="0.25">
      <c r="A1806" s="28" t="s">
        <v>240</v>
      </c>
      <c r="B1806" s="49"/>
      <c r="C1806" s="50"/>
      <c r="D1806" s="29"/>
      <c r="E1806" s="262"/>
      <c r="F1806" s="164"/>
    </row>
    <row r="1807" spans="1:7" x14ac:dyDescent="0.2">
      <c r="A1807" s="27" t="s">
        <v>158</v>
      </c>
      <c r="B1807" s="83">
        <v>275.1875</v>
      </c>
      <c r="C1807" s="45">
        <v>1</v>
      </c>
      <c r="D1807" s="25" t="s">
        <v>101</v>
      </c>
      <c r="E1807" s="261">
        <v>0</v>
      </c>
      <c r="F1807" s="168">
        <f>+B1807*C1807*(1+E1807)</f>
        <v>275.1875</v>
      </c>
    </row>
    <row r="1808" spans="1:7" x14ac:dyDescent="0.2">
      <c r="A1808" s="27" t="s">
        <v>121</v>
      </c>
      <c r="B1808" s="44">
        <v>1500</v>
      </c>
      <c r="C1808" s="45">
        <v>1</v>
      </c>
      <c r="D1808" s="25" t="s">
        <v>85</v>
      </c>
      <c r="E1808" s="261">
        <v>0</v>
      </c>
      <c r="F1808" s="168">
        <f>+B1808*C1808*(1+E1808)</f>
        <v>1500</v>
      </c>
    </row>
    <row r="1809" spans="1:6" ht="15" thickBot="1" x14ac:dyDescent="0.25">
      <c r="A1809" s="20"/>
      <c r="B1809" s="39"/>
      <c r="C1809" s="38"/>
      <c r="D1809" s="21"/>
      <c r="E1809" s="259"/>
      <c r="F1809" s="166"/>
    </row>
    <row r="1810" spans="1:6" ht="15" x14ac:dyDescent="0.25">
      <c r="A1810" s="28" t="s">
        <v>116</v>
      </c>
      <c r="B1810" s="49"/>
      <c r="C1810" s="50"/>
      <c r="D1810" s="29"/>
      <c r="E1810" s="262"/>
      <c r="F1810" s="164"/>
    </row>
    <row r="1811" spans="1:6" x14ac:dyDescent="0.2">
      <c r="A1811" s="27" t="s">
        <v>92</v>
      </c>
      <c r="B1811" s="83">
        <v>165.11249999999998</v>
      </c>
      <c r="C1811" s="45">
        <v>1</v>
      </c>
      <c r="D1811" s="25" t="s">
        <v>85</v>
      </c>
      <c r="E1811" s="261">
        <v>0</v>
      </c>
      <c r="F1811" s="168">
        <f>+B1811*C1811*(1+E1811)</f>
        <v>165.11249999999998</v>
      </c>
    </row>
    <row r="1812" spans="1:6" ht="15" thickBot="1" x14ac:dyDescent="0.25">
      <c r="A1812" s="20"/>
      <c r="B1812" s="39"/>
      <c r="C1812" s="38"/>
      <c r="D1812" s="21"/>
      <c r="E1812" s="259"/>
      <c r="F1812" s="166"/>
    </row>
    <row r="1813" spans="1:6" ht="15" x14ac:dyDescent="0.25">
      <c r="A1813" s="24" t="s">
        <v>70</v>
      </c>
      <c r="B1813" s="44"/>
      <c r="C1813" s="45"/>
      <c r="D1813" s="25"/>
      <c r="E1813" s="261"/>
      <c r="F1813" s="168"/>
    </row>
    <row r="1814" spans="1:6" x14ac:dyDescent="0.2">
      <c r="A1814" s="27" t="s">
        <v>70</v>
      </c>
      <c r="B1814" s="44">
        <v>9198.3962499999998</v>
      </c>
      <c r="C1814" s="45">
        <v>1</v>
      </c>
      <c r="D1814" s="25" t="s">
        <v>213</v>
      </c>
      <c r="E1814" s="261">
        <v>0</v>
      </c>
      <c r="F1814" s="168">
        <f>+B1814*C1814*(1+E1814)</f>
        <v>9198.3962499999998</v>
      </c>
    </row>
    <row r="1815" spans="1:6" ht="15" thickBot="1" x14ac:dyDescent="0.25">
      <c r="A1815" s="27"/>
      <c r="B1815" s="44"/>
      <c r="C1815" s="45"/>
      <c r="D1815" s="25"/>
      <c r="E1815" s="261"/>
      <c r="F1815" s="168"/>
    </row>
    <row r="1816" spans="1:6" ht="15.75" thickBot="1" x14ac:dyDescent="0.3">
      <c r="A1816" s="30"/>
      <c r="B1816" s="52"/>
      <c r="C1816" s="53"/>
      <c r="D1816" s="31"/>
      <c r="E1816" s="263" t="s">
        <v>241</v>
      </c>
      <c r="F1816" s="169">
        <f>SUM(F1802:F1814)</f>
        <v>16642.446250000001</v>
      </c>
    </row>
    <row r="1818" spans="1:6" ht="15" thickBot="1" x14ac:dyDescent="0.25"/>
    <row r="1819" spans="1:6" x14ac:dyDescent="0.2">
      <c r="A1819" s="16" t="s">
        <v>28</v>
      </c>
      <c r="B1819" s="33"/>
      <c r="C1819" s="34"/>
      <c r="D1819" s="17"/>
      <c r="E1819" s="257"/>
      <c r="F1819" s="164"/>
    </row>
    <row r="1820" spans="1:6" ht="102" x14ac:dyDescent="0.2">
      <c r="A1820" s="90" t="s">
        <v>692</v>
      </c>
      <c r="B1820" s="91"/>
      <c r="C1820" s="92"/>
      <c r="D1820" s="91" t="s">
        <v>233</v>
      </c>
      <c r="E1820" s="264" t="s">
        <v>75</v>
      </c>
      <c r="F1820" s="170"/>
    </row>
    <row r="1821" spans="1:6" ht="15" thickBot="1" x14ac:dyDescent="0.25">
      <c r="A1821" s="20"/>
      <c r="B1821" s="37"/>
      <c r="C1821" s="38"/>
      <c r="D1821" s="21"/>
      <c r="E1821" s="259"/>
      <c r="F1821" s="166"/>
    </row>
    <row r="1822" spans="1:6" ht="15" thickBot="1" x14ac:dyDescent="0.25">
      <c r="A1822" s="22" t="s">
        <v>234</v>
      </c>
      <c r="B1822" s="41" t="s">
        <v>235</v>
      </c>
      <c r="C1822" s="42" t="s">
        <v>236</v>
      </c>
      <c r="D1822" s="23" t="s">
        <v>237</v>
      </c>
      <c r="E1822" s="260" t="s">
        <v>67</v>
      </c>
      <c r="F1822" s="167" t="s">
        <v>238</v>
      </c>
    </row>
    <row r="1823" spans="1:6" ht="15.75" thickTop="1" x14ac:dyDescent="0.25">
      <c r="A1823" s="24" t="s">
        <v>239</v>
      </c>
      <c r="B1823" s="44"/>
      <c r="C1823" s="45"/>
      <c r="D1823" s="25"/>
      <c r="E1823" s="261"/>
      <c r="F1823" s="168"/>
    </row>
    <row r="1824" spans="1:6" ht="28.5" x14ac:dyDescent="0.2">
      <c r="A1824" s="27" t="s">
        <v>226</v>
      </c>
      <c r="B1824" s="44">
        <v>154281.696</v>
      </c>
      <c r="C1824" s="45">
        <v>1</v>
      </c>
      <c r="D1824" s="25" t="s">
        <v>85</v>
      </c>
      <c r="E1824" s="261">
        <v>0</v>
      </c>
      <c r="F1824" s="168">
        <f>+B1824*C1824*(1+E1824)</f>
        <v>154281.696</v>
      </c>
    </row>
    <row r="1825" spans="1:7" x14ac:dyDescent="0.2">
      <c r="A1825" s="27" t="s">
        <v>227</v>
      </c>
      <c r="B1825" s="44">
        <v>321633.81599999999</v>
      </c>
      <c r="C1825" s="45">
        <v>1</v>
      </c>
      <c r="D1825" s="25" t="s">
        <v>85</v>
      </c>
      <c r="E1825" s="261">
        <v>0</v>
      </c>
      <c r="F1825" s="168">
        <f>+B1825*C1825*(1+E1825)</f>
        <v>321633.81599999999</v>
      </c>
    </row>
    <row r="1826" spans="1:7" x14ac:dyDescent="0.2">
      <c r="A1826" s="27" t="s">
        <v>229</v>
      </c>
      <c r="B1826" s="44">
        <v>156657.60000000001</v>
      </c>
      <c r="C1826" s="45">
        <v>1</v>
      </c>
      <c r="D1826" s="25" t="s">
        <v>85</v>
      </c>
      <c r="E1826" s="261">
        <v>0</v>
      </c>
      <c r="F1826" s="168">
        <f>+B1826*C1826*(1+E1826)</f>
        <v>156657.60000000001</v>
      </c>
    </row>
    <row r="1827" spans="1:7" x14ac:dyDescent="0.2">
      <c r="A1827" s="27" t="s">
        <v>228</v>
      </c>
      <c r="B1827" s="44">
        <v>26109.600000000002</v>
      </c>
      <c r="C1827" s="45">
        <v>1</v>
      </c>
      <c r="D1827" s="25" t="s">
        <v>85</v>
      </c>
      <c r="E1827" s="261">
        <v>0</v>
      </c>
      <c r="F1827" s="168">
        <f>+B1827*C1827*(1+E1827)</f>
        <v>26109.600000000002</v>
      </c>
    </row>
    <row r="1828" spans="1:7" ht="15" thickBot="1" x14ac:dyDescent="0.25">
      <c r="A1828" s="20"/>
      <c r="B1828" s="39"/>
      <c r="C1828" s="38"/>
      <c r="D1828" s="21"/>
      <c r="E1828" s="259"/>
      <c r="F1828" s="166"/>
      <c r="G1828" s="15">
        <f>SUM(F1824:F1827)</f>
        <v>658682.71199999994</v>
      </c>
    </row>
    <row r="1829" spans="1:7" ht="15" x14ac:dyDescent="0.25">
      <c r="A1829" s="28" t="s">
        <v>240</v>
      </c>
      <c r="B1829" s="49"/>
      <c r="C1829" s="50"/>
      <c r="D1829" s="29"/>
      <c r="E1829" s="262"/>
      <c r="F1829" s="164"/>
    </row>
    <row r="1830" spans="1:7" x14ac:dyDescent="0.2">
      <c r="A1830" s="27" t="s">
        <v>158</v>
      </c>
      <c r="B1830" s="83">
        <v>32934.135600000001</v>
      </c>
      <c r="C1830" s="45">
        <v>1</v>
      </c>
      <c r="D1830" s="25" t="s">
        <v>101</v>
      </c>
      <c r="E1830" s="261">
        <v>0</v>
      </c>
      <c r="F1830" s="168">
        <f>+B1830*C1830*(1+E1830)</f>
        <v>32934.135600000001</v>
      </c>
    </row>
    <row r="1831" spans="1:7" x14ac:dyDescent="0.2">
      <c r="A1831" s="27" t="s">
        <v>121</v>
      </c>
      <c r="B1831" s="44">
        <v>1500</v>
      </c>
      <c r="C1831" s="45">
        <v>1</v>
      </c>
      <c r="D1831" s="25" t="s">
        <v>85</v>
      </c>
      <c r="E1831" s="261">
        <v>0</v>
      </c>
      <c r="F1831" s="168">
        <f>+B1831*C1831*(1+E1831)</f>
        <v>1500</v>
      </c>
    </row>
    <row r="1832" spans="1:7" ht="15" thickBot="1" x14ac:dyDescent="0.25">
      <c r="A1832" s="20"/>
      <c r="B1832" s="39"/>
      <c r="C1832" s="38"/>
      <c r="D1832" s="21"/>
      <c r="E1832" s="259"/>
      <c r="F1832" s="166"/>
    </row>
    <row r="1833" spans="1:7" ht="15" x14ac:dyDescent="0.25">
      <c r="A1833" s="28" t="s">
        <v>116</v>
      </c>
      <c r="B1833" s="49"/>
      <c r="C1833" s="50"/>
      <c r="D1833" s="29"/>
      <c r="E1833" s="262"/>
      <c r="F1833" s="164"/>
    </row>
    <row r="1834" spans="1:7" x14ac:dyDescent="0.2">
      <c r="A1834" s="27" t="s">
        <v>92</v>
      </c>
      <c r="B1834" s="83">
        <v>19760.481359999998</v>
      </c>
      <c r="C1834" s="45">
        <v>1</v>
      </c>
      <c r="D1834" s="25" t="s">
        <v>85</v>
      </c>
      <c r="E1834" s="261">
        <v>0</v>
      </c>
      <c r="F1834" s="168">
        <f>+B1834*C1834*(1+E1834)</f>
        <v>19760.481359999998</v>
      </c>
    </row>
    <row r="1835" spans="1:7" ht="15" thickBot="1" x14ac:dyDescent="0.25">
      <c r="A1835" s="20"/>
      <c r="B1835" s="39"/>
      <c r="C1835" s="38"/>
      <c r="D1835" s="21"/>
      <c r="E1835" s="259"/>
      <c r="F1835" s="166"/>
    </row>
    <row r="1836" spans="1:7" ht="15" x14ac:dyDescent="0.25">
      <c r="A1836" s="24" t="s">
        <v>70</v>
      </c>
      <c r="B1836" s="44"/>
      <c r="C1836" s="45"/>
      <c r="D1836" s="25"/>
      <c r="E1836" s="261"/>
      <c r="F1836" s="168"/>
    </row>
    <row r="1837" spans="1:7" x14ac:dyDescent="0.2">
      <c r="A1837" s="27" t="s">
        <v>70</v>
      </c>
      <c r="B1837" s="44">
        <v>9198.3962499999998</v>
      </c>
      <c r="C1837" s="45">
        <v>10</v>
      </c>
      <c r="D1837" s="25" t="s">
        <v>213</v>
      </c>
      <c r="E1837" s="261">
        <v>0</v>
      </c>
      <c r="F1837" s="168">
        <f>+B1837*C1837*(1+E1837)</f>
        <v>91983.962499999994</v>
      </c>
    </row>
    <row r="1838" spans="1:7" ht="15" thickBot="1" x14ac:dyDescent="0.25">
      <c r="A1838" s="27"/>
      <c r="B1838" s="44"/>
      <c r="C1838" s="45"/>
      <c r="D1838" s="25"/>
      <c r="E1838" s="261"/>
      <c r="F1838" s="168"/>
    </row>
    <row r="1839" spans="1:7" ht="15.75" thickBot="1" x14ac:dyDescent="0.3">
      <c r="A1839" s="30"/>
      <c r="B1839" s="52"/>
      <c r="C1839" s="53"/>
      <c r="D1839" s="31"/>
      <c r="E1839" s="263" t="s">
        <v>241</v>
      </c>
      <c r="F1839" s="169">
        <f>SUM(F1824:F1837)</f>
        <v>804861.29145999998</v>
      </c>
    </row>
    <row r="1842" spans="1:7" ht="15" thickBot="1" x14ac:dyDescent="0.25"/>
    <row r="1843" spans="1:7" x14ac:dyDescent="0.2">
      <c r="A1843" s="16" t="s">
        <v>28</v>
      </c>
      <c r="B1843" s="33"/>
      <c r="C1843" s="34"/>
      <c r="D1843" s="17"/>
      <c r="E1843" s="257"/>
      <c r="F1843" s="164"/>
    </row>
    <row r="1844" spans="1:7" ht="25.5" x14ac:dyDescent="0.2">
      <c r="A1844" s="90" t="s">
        <v>693</v>
      </c>
      <c r="B1844" s="91"/>
      <c r="C1844" s="92"/>
      <c r="D1844" s="91" t="s">
        <v>233</v>
      </c>
      <c r="E1844" s="264" t="s">
        <v>75</v>
      </c>
      <c r="F1844" s="170"/>
    </row>
    <row r="1845" spans="1:7" ht="15" thickBot="1" x14ac:dyDescent="0.25">
      <c r="A1845" s="20"/>
      <c r="B1845" s="37"/>
      <c r="C1845" s="38"/>
      <c r="D1845" s="21"/>
      <c r="E1845" s="259"/>
      <c r="F1845" s="166"/>
    </row>
    <row r="1846" spans="1:7" ht="15" thickBot="1" x14ac:dyDescent="0.25">
      <c r="A1846" s="22" t="s">
        <v>234</v>
      </c>
      <c r="B1846" s="41" t="s">
        <v>235</v>
      </c>
      <c r="C1846" s="42" t="s">
        <v>236</v>
      </c>
      <c r="D1846" s="23" t="s">
        <v>237</v>
      </c>
      <c r="E1846" s="260" t="s">
        <v>67</v>
      </c>
      <c r="F1846" s="167" t="s">
        <v>238</v>
      </c>
    </row>
    <row r="1847" spans="1:7" ht="15.75" thickTop="1" x14ac:dyDescent="0.25">
      <c r="A1847" s="24" t="s">
        <v>239</v>
      </c>
      <c r="B1847" s="44"/>
      <c r="C1847" s="45"/>
      <c r="D1847" s="25"/>
      <c r="E1847" s="261"/>
      <c r="F1847" s="168"/>
    </row>
    <row r="1848" spans="1:7" ht="42.75" x14ac:dyDescent="0.2">
      <c r="A1848" s="27" t="s">
        <v>792</v>
      </c>
      <c r="B1848" s="44">
        <v>165850</v>
      </c>
      <c r="C1848" s="45">
        <v>1</v>
      </c>
      <c r="D1848" s="25" t="s">
        <v>85</v>
      </c>
      <c r="E1848" s="261">
        <v>0</v>
      </c>
      <c r="F1848" s="168">
        <f>+B1848*C1848*(1+E1848)</f>
        <v>165850</v>
      </c>
    </row>
    <row r="1849" spans="1:7" x14ac:dyDescent="0.2">
      <c r="A1849" s="27" t="s">
        <v>228</v>
      </c>
      <c r="B1849" s="44">
        <v>26109.600000000002</v>
      </c>
      <c r="C1849" s="45">
        <v>1</v>
      </c>
      <c r="D1849" s="25" t="s">
        <v>85</v>
      </c>
      <c r="E1849" s="261">
        <v>0</v>
      </c>
      <c r="F1849" s="168">
        <f>+B1849*C1849*(1+E1849)</f>
        <v>26109.600000000002</v>
      </c>
    </row>
    <row r="1850" spans="1:7" ht="15" thickBot="1" x14ac:dyDescent="0.25">
      <c r="A1850" s="20"/>
      <c r="B1850" s="39"/>
      <c r="C1850" s="38"/>
      <c r="D1850" s="21"/>
      <c r="E1850" s="259"/>
      <c r="F1850" s="166"/>
      <c r="G1850" s="15">
        <f>SUM(F1848:F1849)</f>
        <v>191959.6</v>
      </c>
    </row>
    <row r="1851" spans="1:7" ht="15" x14ac:dyDescent="0.25">
      <c r="A1851" s="28" t="s">
        <v>240</v>
      </c>
      <c r="B1851" s="49"/>
      <c r="C1851" s="50"/>
      <c r="D1851" s="29"/>
      <c r="E1851" s="262"/>
      <c r="F1851" s="164"/>
    </row>
    <row r="1852" spans="1:7" x14ac:dyDescent="0.2">
      <c r="A1852" s="27" t="s">
        <v>158</v>
      </c>
      <c r="B1852" s="83">
        <v>9597.9800000000014</v>
      </c>
      <c r="C1852" s="45">
        <v>1</v>
      </c>
      <c r="D1852" s="25" t="s">
        <v>101</v>
      </c>
      <c r="E1852" s="261">
        <v>0</v>
      </c>
      <c r="F1852" s="168">
        <f>+B1852*C1852*(1+E1852)</f>
        <v>9597.9800000000014</v>
      </c>
    </row>
    <row r="1853" spans="1:7" x14ac:dyDescent="0.2">
      <c r="A1853" s="27" t="s">
        <v>121</v>
      </c>
      <c r="B1853" s="44">
        <v>1500</v>
      </c>
      <c r="C1853" s="45">
        <v>1</v>
      </c>
      <c r="D1853" s="25" t="s">
        <v>85</v>
      </c>
      <c r="E1853" s="261">
        <v>0</v>
      </c>
      <c r="F1853" s="168">
        <f>+B1853*C1853*(1+E1853)</f>
        <v>1500</v>
      </c>
    </row>
    <row r="1854" spans="1:7" ht="15" thickBot="1" x14ac:dyDescent="0.25">
      <c r="A1854" s="20"/>
      <c r="B1854" s="39"/>
      <c r="C1854" s="38"/>
      <c r="D1854" s="21"/>
      <c r="E1854" s="259"/>
      <c r="F1854" s="166"/>
    </row>
    <row r="1855" spans="1:7" ht="15" x14ac:dyDescent="0.25">
      <c r="A1855" s="28" t="s">
        <v>116</v>
      </c>
      <c r="B1855" s="49"/>
      <c r="C1855" s="50"/>
      <c r="D1855" s="29"/>
      <c r="E1855" s="262"/>
      <c r="F1855" s="164"/>
    </row>
    <row r="1856" spans="1:7" x14ac:dyDescent="0.2">
      <c r="A1856" s="27" t="s">
        <v>92</v>
      </c>
      <c r="B1856" s="83">
        <v>5758.7879999999996</v>
      </c>
      <c r="C1856" s="45">
        <v>1</v>
      </c>
      <c r="D1856" s="25" t="s">
        <v>85</v>
      </c>
      <c r="E1856" s="261">
        <v>0</v>
      </c>
      <c r="F1856" s="168">
        <f>+B1856*C1856*(1+E1856)</f>
        <v>5758.7879999999996</v>
      </c>
    </row>
    <row r="1857" spans="1:6" ht="15" thickBot="1" x14ac:dyDescent="0.25">
      <c r="A1857" s="20"/>
      <c r="B1857" s="39"/>
      <c r="C1857" s="38"/>
      <c r="D1857" s="21"/>
      <c r="E1857" s="259"/>
      <c r="F1857" s="166"/>
    </row>
    <row r="1858" spans="1:6" ht="15" x14ac:dyDescent="0.25">
      <c r="A1858" s="24" t="s">
        <v>70</v>
      </c>
      <c r="B1858" s="44"/>
      <c r="C1858" s="45"/>
      <c r="D1858" s="25"/>
      <c r="E1858" s="261"/>
      <c r="F1858" s="168"/>
    </row>
    <row r="1859" spans="1:6" x14ac:dyDescent="0.2">
      <c r="A1859" s="27" t="s">
        <v>70</v>
      </c>
      <c r="B1859" s="44">
        <v>9198.3962499999998</v>
      </c>
      <c r="C1859" s="45">
        <v>2</v>
      </c>
      <c r="D1859" s="25" t="s">
        <v>213</v>
      </c>
      <c r="E1859" s="261">
        <v>0</v>
      </c>
      <c r="F1859" s="168">
        <f>+B1859*C1859*(1+E1859)</f>
        <v>18396.7925</v>
      </c>
    </row>
    <row r="1860" spans="1:6" ht="15" thickBot="1" x14ac:dyDescent="0.25">
      <c r="A1860" s="27"/>
      <c r="B1860" s="44"/>
      <c r="C1860" s="45"/>
      <c r="D1860" s="25"/>
      <c r="E1860" s="261"/>
      <c r="F1860" s="168"/>
    </row>
    <row r="1861" spans="1:6" ht="15.75" thickBot="1" x14ac:dyDescent="0.3">
      <c r="A1861" s="30"/>
      <c r="B1861" s="52"/>
      <c r="C1861" s="53"/>
      <c r="D1861" s="31"/>
      <c r="E1861" s="263" t="s">
        <v>241</v>
      </c>
      <c r="F1861" s="169">
        <f>SUM(F1848:F1859)</f>
        <v>227213.16050000003</v>
      </c>
    </row>
    <row r="1870" spans="1:6" ht="15" thickBot="1" x14ac:dyDescent="0.25"/>
    <row r="1871" spans="1:6" x14ac:dyDescent="0.2">
      <c r="A1871" s="16" t="s">
        <v>28</v>
      </c>
      <c r="B1871" s="33"/>
      <c r="C1871" s="34"/>
      <c r="D1871" s="17"/>
      <c r="E1871" s="257"/>
      <c r="F1871" s="164"/>
    </row>
    <row r="1872" spans="1:6" ht="25.5" x14ac:dyDescent="0.2">
      <c r="A1872" s="90" t="s">
        <v>793</v>
      </c>
      <c r="B1872" s="91"/>
      <c r="C1872" s="92"/>
      <c r="D1872" s="91" t="s">
        <v>233</v>
      </c>
      <c r="E1872" s="264" t="s">
        <v>2</v>
      </c>
      <c r="F1872" s="170"/>
    </row>
    <row r="1873" spans="1:7" ht="15" thickBot="1" x14ac:dyDescent="0.25">
      <c r="A1873" s="20"/>
      <c r="B1873" s="37"/>
      <c r="C1873" s="38"/>
      <c r="D1873" s="21"/>
      <c r="E1873" s="259"/>
      <c r="F1873" s="166"/>
    </row>
    <row r="1874" spans="1:7" ht="15" thickBot="1" x14ac:dyDescent="0.25">
      <c r="A1874" s="22" t="s">
        <v>234</v>
      </c>
      <c r="B1874" s="41" t="s">
        <v>235</v>
      </c>
      <c r="C1874" s="42" t="s">
        <v>236</v>
      </c>
      <c r="D1874" s="23" t="s">
        <v>237</v>
      </c>
      <c r="E1874" s="260" t="s">
        <v>67</v>
      </c>
      <c r="F1874" s="167" t="s">
        <v>238</v>
      </c>
    </row>
    <row r="1875" spans="1:7" ht="15.75" thickTop="1" x14ac:dyDescent="0.25">
      <c r="A1875" s="24" t="s">
        <v>239</v>
      </c>
      <c r="B1875" s="44"/>
      <c r="C1875" s="45"/>
      <c r="D1875" s="25"/>
      <c r="E1875" s="261"/>
      <c r="F1875" s="168"/>
    </row>
    <row r="1876" spans="1:7" x14ac:dyDescent="0.2">
      <c r="A1876" s="27" t="s">
        <v>293</v>
      </c>
      <c r="B1876" s="44">
        <f>(143000*1.19)/6</f>
        <v>28361.666666666668</v>
      </c>
      <c r="C1876" s="45">
        <v>1</v>
      </c>
      <c r="D1876" s="25" t="s">
        <v>85</v>
      </c>
      <c r="E1876" s="261">
        <v>0</v>
      </c>
      <c r="F1876" s="168">
        <f>+B1876*C1876*(1+E1876)</f>
        <v>28361.666666666668</v>
      </c>
    </row>
    <row r="1877" spans="1:7" x14ac:dyDescent="0.2">
      <c r="A1877" s="27" t="s">
        <v>294</v>
      </c>
      <c r="B1877" s="44">
        <f>54900/6</f>
        <v>9150</v>
      </c>
      <c r="C1877" s="45">
        <v>3</v>
      </c>
      <c r="D1877" s="25" t="s">
        <v>85</v>
      </c>
      <c r="E1877" s="261">
        <v>0</v>
      </c>
      <c r="F1877" s="168">
        <f>+B1877*C1877*(1+E1877)</f>
        <v>27450</v>
      </c>
    </row>
    <row r="1878" spans="1:7" x14ac:dyDescent="0.2">
      <c r="A1878" s="27" t="s">
        <v>286</v>
      </c>
      <c r="B1878" s="44">
        <v>16331</v>
      </c>
      <c r="C1878" s="45">
        <v>0.08</v>
      </c>
      <c r="D1878" s="25" t="s">
        <v>85</v>
      </c>
      <c r="E1878" s="261">
        <v>0</v>
      </c>
      <c r="F1878" s="168">
        <f>+B1878*C1878*(1+E1878)</f>
        <v>1306.48</v>
      </c>
    </row>
    <row r="1879" spans="1:7" x14ac:dyDescent="0.2">
      <c r="A1879" s="27" t="s">
        <v>288</v>
      </c>
      <c r="B1879" s="44">
        <v>35014</v>
      </c>
      <c r="C1879" s="45">
        <v>0.05</v>
      </c>
      <c r="D1879" s="25" t="s">
        <v>85</v>
      </c>
      <c r="E1879" s="261">
        <v>0</v>
      </c>
      <c r="F1879" s="168">
        <f>+B1879*C1879*(1+E1879)</f>
        <v>1750.7</v>
      </c>
    </row>
    <row r="1880" spans="1:7" ht="15" thickBot="1" x14ac:dyDescent="0.25">
      <c r="A1880" s="20"/>
      <c r="B1880" s="39"/>
      <c r="C1880" s="38"/>
      <c r="D1880" s="21"/>
      <c r="E1880" s="259"/>
      <c r="F1880" s="166"/>
      <c r="G1880" s="15">
        <f>SUM(F1876:F1879)</f>
        <v>58868.846666666672</v>
      </c>
    </row>
    <row r="1881" spans="1:7" ht="15" x14ac:dyDescent="0.25">
      <c r="A1881" s="28" t="s">
        <v>240</v>
      </c>
      <c r="B1881" s="49"/>
      <c r="C1881" s="50"/>
      <c r="D1881" s="29"/>
      <c r="E1881" s="262"/>
      <c r="F1881" s="164"/>
    </row>
    <row r="1882" spans="1:7" x14ac:dyDescent="0.2">
      <c r="A1882" s="27" t="s">
        <v>158</v>
      </c>
      <c r="B1882" s="83">
        <v>2883.6923333333339</v>
      </c>
      <c r="C1882" s="45">
        <v>1</v>
      </c>
      <c r="D1882" s="25" t="s">
        <v>101</v>
      </c>
      <c r="E1882" s="261">
        <v>0</v>
      </c>
      <c r="F1882" s="168">
        <f>+B1882*C1882*(1+E1882)</f>
        <v>2883.6923333333339</v>
      </c>
    </row>
    <row r="1883" spans="1:7" x14ac:dyDescent="0.2">
      <c r="A1883" s="27" t="s">
        <v>121</v>
      </c>
      <c r="B1883" s="44">
        <v>1500</v>
      </c>
      <c r="C1883" s="45">
        <v>1</v>
      </c>
      <c r="D1883" s="25" t="s">
        <v>85</v>
      </c>
      <c r="E1883" s="261">
        <v>0</v>
      </c>
      <c r="F1883" s="168">
        <f>+B1883*C1883*(1+E1883)</f>
        <v>1500</v>
      </c>
    </row>
    <row r="1884" spans="1:7" ht="15" thickBot="1" x14ac:dyDescent="0.25">
      <c r="A1884" s="20"/>
      <c r="B1884" s="39"/>
      <c r="C1884" s="38"/>
      <c r="D1884" s="21"/>
      <c r="E1884" s="259"/>
      <c r="F1884" s="166"/>
    </row>
    <row r="1885" spans="1:7" ht="15" x14ac:dyDescent="0.25">
      <c r="A1885" s="28" t="s">
        <v>116</v>
      </c>
      <c r="B1885" s="49"/>
      <c r="C1885" s="50"/>
      <c r="D1885" s="29"/>
      <c r="E1885" s="262"/>
      <c r="F1885" s="164"/>
    </row>
    <row r="1886" spans="1:7" x14ac:dyDescent="0.2">
      <c r="A1886" s="27" t="s">
        <v>92</v>
      </c>
      <c r="B1886" s="83">
        <v>1730.2154</v>
      </c>
      <c r="C1886" s="45">
        <v>1</v>
      </c>
      <c r="D1886" s="25" t="s">
        <v>85</v>
      </c>
      <c r="E1886" s="261">
        <v>0</v>
      </c>
      <c r="F1886" s="168">
        <f>+B1886*C1886*(1+E1886)</f>
        <v>1730.2154</v>
      </c>
    </row>
    <row r="1887" spans="1:7" ht="15" thickBot="1" x14ac:dyDescent="0.25">
      <c r="A1887" s="20"/>
      <c r="B1887" s="39"/>
      <c r="C1887" s="38"/>
      <c r="D1887" s="21"/>
      <c r="E1887" s="259"/>
      <c r="F1887" s="166"/>
    </row>
    <row r="1888" spans="1:7" ht="15" x14ac:dyDescent="0.25">
      <c r="A1888" s="24" t="s">
        <v>70</v>
      </c>
      <c r="B1888" s="44"/>
      <c r="C1888" s="45"/>
      <c r="D1888" s="25"/>
      <c r="E1888" s="261"/>
      <c r="F1888" s="168"/>
    </row>
    <row r="1889" spans="1:7" x14ac:dyDescent="0.2">
      <c r="A1889" s="27" t="s">
        <v>70</v>
      </c>
      <c r="B1889" s="44">
        <v>9198.3962499999998</v>
      </c>
      <c r="C1889" s="45">
        <v>3</v>
      </c>
      <c r="D1889" s="25" t="s">
        <v>213</v>
      </c>
      <c r="E1889" s="261">
        <v>0</v>
      </c>
      <c r="F1889" s="168">
        <f>+B1889*C1889*(1+E1889)</f>
        <v>27595.188750000001</v>
      </c>
    </row>
    <row r="1890" spans="1:7" ht="15" thickBot="1" x14ac:dyDescent="0.25">
      <c r="A1890" s="27"/>
      <c r="B1890" s="44"/>
      <c r="C1890" s="45"/>
      <c r="D1890" s="25"/>
      <c r="E1890" s="261"/>
      <c r="F1890" s="168"/>
    </row>
    <row r="1891" spans="1:7" ht="15.75" thickBot="1" x14ac:dyDescent="0.3">
      <c r="A1891" s="30"/>
      <c r="B1891" s="52"/>
      <c r="C1891" s="53"/>
      <c r="D1891" s="31"/>
      <c r="E1891" s="263" t="s">
        <v>241</v>
      </c>
      <c r="F1891" s="169">
        <f>SUM(F1876:F1889)</f>
        <v>92577.943150000006</v>
      </c>
    </row>
    <row r="1893" spans="1:7" ht="15" thickBot="1" x14ac:dyDescent="0.25"/>
    <row r="1894" spans="1:7" x14ac:dyDescent="0.2">
      <c r="A1894" s="16" t="s">
        <v>28</v>
      </c>
      <c r="B1894" s="33"/>
      <c r="C1894" s="34"/>
      <c r="D1894" s="17"/>
      <c r="E1894" s="257"/>
      <c r="F1894" s="164"/>
    </row>
    <row r="1895" spans="1:7" ht="25.5" x14ac:dyDescent="0.2">
      <c r="A1895" s="90" t="s">
        <v>863</v>
      </c>
      <c r="B1895" s="91"/>
      <c r="C1895" s="92"/>
      <c r="D1895" s="91" t="s">
        <v>233</v>
      </c>
      <c r="E1895" s="264" t="s">
        <v>80</v>
      </c>
      <c r="F1895" s="165"/>
    </row>
    <row r="1896" spans="1:7" ht="15" thickBot="1" x14ac:dyDescent="0.25">
      <c r="A1896" s="20"/>
      <c r="B1896" s="37"/>
      <c r="C1896" s="38"/>
      <c r="D1896" s="21"/>
      <c r="E1896" s="259"/>
      <c r="F1896" s="166"/>
    </row>
    <row r="1897" spans="1:7" ht="15" thickBot="1" x14ac:dyDescent="0.25">
      <c r="A1897" s="22" t="s">
        <v>234</v>
      </c>
      <c r="B1897" s="41" t="s">
        <v>235</v>
      </c>
      <c r="C1897" s="42" t="s">
        <v>236</v>
      </c>
      <c r="D1897" s="23" t="s">
        <v>237</v>
      </c>
      <c r="E1897" s="260" t="s">
        <v>67</v>
      </c>
      <c r="F1897" s="167" t="s">
        <v>238</v>
      </c>
    </row>
    <row r="1898" spans="1:7" ht="15.75" thickTop="1" x14ac:dyDescent="0.25">
      <c r="A1898" s="24" t="s">
        <v>239</v>
      </c>
      <c r="B1898" s="44"/>
      <c r="C1898" s="45"/>
      <c r="D1898" s="25"/>
      <c r="E1898" s="261"/>
      <c r="F1898" s="168"/>
    </row>
    <row r="1899" spans="1:7" ht="28.5" x14ac:dyDescent="0.2">
      <c r="A1899" s="27" t="s">
        <v>295</v>
      </c>
      <c r="B1899" s="44">
        <v>55800</v>
      </c>
      <c r="C1899" s="45">
        <v>1</v>
      </c>
      <c r="D1899" s="25" t="s">
        <v>108</v>
      </c>
      <c r="E1899" s="261">
        <v>0.03</v>
      </c>
      <c r="F1899" s="168">
        <f>+B1899*C1899*(1+E1899)</f>
        <v>57474</v>
      </c>
    </row>
    <row r="1900" spans="1:7" x14ac:dyDescent="0.2">
      <c r="A1900" s="27" t="s">
        <v>293</v>
      </c>
      <c r="B1900" s="44">
        <f>(143000*1.19)/6</f>
        <v>28361.666666666668</v>
      </c>
      <c r="C1900" s="45">
        <v>1</v>
      </c>
      <c r="D1900" s="25" t="s">
        <v>108</v>
      </c>
      <c r="E1900" s="261">
        <v>0.03</v>
      </c>
      <c r="F1900" s="168">
        <f>+B1900*C1900*(1+E1900)</f>
        <v>29212.51666666667</v>
      </c>
    </row>
    <row r="1901" spans="1:7" x14ac:dyDescent="0.2">
      <c r="A1901" s="27" t="s">
        <v>286</v>
      </c>
      <c r="B1901" s="44">
        <v>16331</v>
      </c>
      <c r="C1901" s="45">
        <v>0.08</v>
      </c>
      <c r="D1901" s="25" t="s">
        <v>108</v>
      </c>
      <c r="E1901" s="261">
        <v>0</v>
      </c>
      <c r="F1901" s="168">
        <f>+B1901*C1901*(1+E1901)</f>
        <v>1306.48</v>
      </c>
    </row>
    <row r="1902" spans="1:7" x14ac:dyDescent="0.2">
      <c r="A1902" s="27" t="s">
        <v>288</v>
      </c>
      <c r="B1902" s="44">
        <v>35014</v>
      </c>
      <c r="C1902" s="45">
        <v>0.2</v>
      </c>
      <c r="D1902" s="25" t="s">
        <v>103</v>
      </c>
      <c r="E1902" s="261">
        <v>0</v>
      </c>
      <c r="F1902" s="168">
        <f>+B1902*C1902*(1+E1902)</f>
        <v>7002.8</v>
      </c>
    </row>
    <row r="1903" spans="1:7" ht="15" thickBot="1" x14ac:dyDescent="0.25">
      <c r="A1903" s="20"/>
      <c r="B1903" s="39"/>
      <c r="C1903" s="38"/>
      <c r="D1903" s="21"/>
      <c r="E1903" s="259"/>
      <c r="F1903" s="166"/>
      <c r="G1903" s="15">
        <f>SUM(F1899:F1902)</f>
        <v>94995.796666666662</v>
      </c>
    </row>
    <row r="1904" spans="1:7" ht="15" x14ac:dyDescent="0.25">
      <c r="A1904" s="28" t="s">
        <v>240</v>
      </c>
      <c r="B1904" s="49"/>
      <c r="C1904" s="50"/>
      <c r="D1904" s="29"/>
      <c r="E1904" s="262"/>
      <c r="F1904" s="164"/>
    </row>
    <row r="1905" spans="1:6" x14ac:dyDescent="0.2">
      <c r="A1905" s="27" t="s">
        <v>158</v>
      </c>
      <c r="B1905" s="83">
        <f>G1903*0.05</f>
        <v>4749.7898333333333</v>
      </c>
      <c r="C1905" s="45">
        <v>1</v>
      </c>
      <c r="D1905" s="25" t="s">
        <v>101</v>
      </c>
      <c r="E1905" s="261">
        <v>0</v>
      </c>
      <c r="F1905" s="168">
        <f>+B1905*C1905*(1+E1905)</f>
        <v>4749.7898333333333</v>
      </c>
    </row>
    <row r="1906" spans="1:6" x14ac:dyDescent="0.2">
      <c r="A1906" s="27" t="s">
        <v>121</v>
      </c>
      <c r="B1906" s="44">
        <v>1500</v>
      </c>
      <c r="C1906" s="45">
        <v>1</v>
      </c>
      <c r="D1906" s="25" t="s">
        <v>85</v>
      </c>
      <c r="E1906" s="261">
        <v>0</v>
      </c>
      <c r="F1906" s="168">
        <f>+B1906*C1906*(1+E1906)</f>
        <v>1500</v>
      </c>
    </row>
    <row r="1907" spans="1:6" ht="15" thickBot="1" x14ac:dyDescent="0.25">
      <c r="A1907" s="20"/>
      <c r="B1907" s="39"/>
      <c r="C1907" s="38"/>
      <c r="D1907" s="21"/>
      <c r="E1907" s="259"/>
      <c r="F1907" s="166"/>
    </row>
    <row r="1908" spans="1:6" ht="15" x14ac:dyDescent="0.25">
      <c r="A1908" s="28" t="s">
        <v>116</v>
      </c>
      <c r="B1908" s="49"/>
      <c r="C1908" s="50"/>
      <c r="D1908" s="29"/>
      <c r="E1908" s="262"/>
      <c r="F1908" s="164"/>
    </row>
    <row r="1909" spans="1:6" x14ac:dyDescent="0.2">
      <c r="A1909" s="27" t="s">
        <v>92</v>
      </c>
      <c r="B1909" s="83">
        <f>G1903*0.03</f>
        <v>2849.8738999999996</v>
      </c>
      <c r="C1909" s="45">
        <v>1</v>
      </c>
      <c r="D1909" s="25" t="s">
        <v>85</v>
      </c>
      <c r="E1909" s="261">
        <v>0</v>
      </c>
      <c r="F1909" s="168">
        <f>+B1909*C1909*(1+E1909)</f>
        <v>2849.8738999999996</v>
      </c>
    </row>
    <row r="1910" spans="1:6" ht="15" thickBot="1" x14ac:dyDescent="0.25">
      <c r="A1910" s="20"/>
      <c r="B1910" s="39"/>
      <c r="C1910" s="38"/>
      <c r="D1910" s="21"/>
      <c r="E1910" s="259"/>
      <c r="F1910" s="166"/>
    </row>
    <row r="1911" spans="1:6" ht="15" x14ac:dyDescent="0.25">
      <c r="A1911" s="24" t="s">
        <v>70</v>
      </c>
      <c r="B1911" s="44"/>
      <c r="C1911" s="45"/>
      <c r="D1911" s="25"/>
      <c r="E1911" s="261"/>
      <c r="F1911" s="168"/>
    </row>
    <row r="1912" spans="1:6" x14ac:dyDescent="0.2">
      <c r="A1912" s="27" t="s">
        <v>70</v>
      </c>
      <c r="B1912" s="44">
        <v>9198.3962499999998</v>
      </c>
      <c r="C1912" s="45">
        <v>3</v>
      </c>
      <c r="D1912" s="25" t="s">
        <v>213</v>
      </c>
      <c r="E1912" s="261">
        <v>0</v>
      </c>
      <c r="F1912" s="168">
        <f>+B1912*C1912*(1+E1912)</f>
        <v>27595.188750000001</v>
      </c>
    </row>
    <row r="1913" spans="1:6" ht="15" thickBot="1" x14ac:dyDescent="0.25">
      <c r="A1913" s="27"/>
      <c r="B1913" s="44"/>
      <c r="C1913" s="45"/>
      <c r="D1913" s="25"/>
      <c r="E1913" s="261"/>
      <c r="F1913" s="168"/>
    </row>
    <row r="1914" spans="1:6" ht="15.75" thickBot="1" x14ac:dyDescent="0.3">
      <c r="A1914" s="30"/>
      <c r="B1914" s="52"/>
      <c r="C1914" s="53"/>
      <c r="D1914" s="31"/>
      <c r="E1914" s="263" t="s">
        <v>241</v>
      </c>
      <c r="F1914" s="169">
        <f>SUM(F1899:F1912)</f>
        <v>131690.64915000001</v>
      </c>
    </row>
    <row r="1916" spans="1:6" ht="15" thickBot="1" x14ac:dyDescent="0.25"/>
    <row r="1917" spans="1:6" x14ac:dyDescent="0.2">
      <c r="A1917" s="16" t="s">
        <v>28</v>
      </c>
      <c r="B1917" s="33"/>
      <c r="C1917" s="34"/>
      <c r="D1917" s="17"/>
      <c r="E1917" s="257"/>
      <c r="F1917" s="164"/>
    </row>
    <row r="1918" spans="1:6" ht="25.5" x14ac:dyDescent="0.2">
      <c r="A1918" s="90" t="s">
        <v>865</v>
      </c>
      <c r="B1918" s="91"/>
      <c r="C1918" s="92"/>
      <c r="D1918" s="91" t="s">
        <v>233</v>
      </c>
      <c r="E1918" s="264" t="s">
        <v>80</v>
      </c>
      <c r="F1918" s="170"/>
    </row>
    <row r="1919" spans="1:6" ht="15" thickBot="1" x14ac:dyDescent="0.25">
      <c r="A1919" s="20"/>
      <c r="B1919" s="37"/>
      <c r="C1919" s="38"/>
      <c r="D1919" s="21"/>
      <c r="E1919" s="259"/>
      <c r="F1919" s="166"/>
    </row>
    <row r="1920" spans="1:6" ht="15" thickBot="1" x14ac:dyDescent="0.25">
      <c r="A1920" s="22" t="s">
        <v>234</v>
      </c>
      <c r="B1920" s="41" t="s">
        <v>235</v>
      </c>
      <c r="C1920" s="42" t="s">
        <v>236</v>
      </c>
      <c r="D1920" s="23" t="s">
        <v>237</v>
      </c>
      <c r="E1920" s="260" t="s">
        <v>67</v>
      </c>
      <c r="F1920" s="167" t="s">
        <v>238</v>
      </c>
    </row>
    <row r="1921" spans="1:7" ht="15.75" thickTop="1" x14ac:dyDescent="0.25">
      <c r="A1921" s="24" t="s">
        <v>239</v>
      </c>
      <c r="B1921" s="44"/>
      <c r="C1921" s="45"/>
      <c r="D1921" s="25"/>
      <c r="E1921" s="261"/>
      <c r="F1921" s="168"/>
    </row>
    <row r="1922" spans="1:7" x14ac:dyDescent="0.2">
      <c r="A1922" s="27" t="s">
        <v>293</v>
      </c>
      <c r="B1922" s="44">
        <f>(143000*1.19)/6</f>
        <v>28361.666666666668</v>
      </c>
      <c r="C1922" s="45">
        <v>1</v>
      </c>
      <c r="D1922" s="25" t="s">
        <v>82</v>
      </c>
      <c r="E1922" s="261">
        <v>0.03</v>
      </c>
      <c r="F1922" s="168">
        <f>+B1922*C1922*(1+E1922)</f>
        <v>29212.51666666667</v>
      </c>
    </row>
    <row r="1923" spans="1:7" x14ac:dyDescent="0.2">
      <c r="A1923" s="27" t="s">
        <v>286</v>
      </c>
      <c r="B1923" s="44">
        <v>16331</v>
      </c>
      <c r="C1923" s="45">
        <v>0.08</v>
      </c>
      <c r="D1923" s="25" t="s">
        <v>112</v>
      </c>
      <c r="E1923" s="261">
        <v>0</v>
      </c>
      <c r="F1923" s="168">
        <f>+B1923*C1923*(1+E1923)</f>
        <v>1306.48</v>
      </c>
    </row>
    <row r="1924" spans="1:7" x14ac:dyDescent="0.2">
      <c r="A1924" s="27" t="s">
        <v>288</v>
      </c>
      <c r="B1924" s="44">
        <v>35014</v>
      </c>
      <c r="C1924" s="45">
        <v>0.05</v>
      </c>
      <c r="D1924" s="25" t="s">
        <v>103</v>
      </c>
      <c r="E1924" s="261">
        <v>0</v>
      </c>
      <c r="F1924" s="168">
        <f>+B1924*C1924*(1+E1924)</f>
        <v>1750.7</v>
      </c>
    </row>
    <row r="1925" spans="1:7" ht="15" thickBot="1" x14ac:dyDescent="0.25">
      <c r="A1925" s="20"/>
      <c r="B1925" s="39"/>
      <c r="C1925" s="38"/>
      <c r="D1925" s="21"/>
      <c r="E1925" s="259"/>
      <c r="F1925" s="166"/>
      <c r="G1925" s="15">
        <f>SUM(F1922:F1924)</f>
        <v>32269.69666666667</v>
      </c>
    </row>
    <row r="1926" spans="1:7" ht="15" x14ac:dyDescent="0.25">
      <c r="A1926" s="28" t="s">
        <v>240</v>
      </c>
      <c r="B1926" s="49"/>
      <c r="C1926" s="50"/>
      <c r="D1926" s="29"/>
      <c r="E1926" s="262"/>
      <c r="F1926" s="164"/>
    </row>
    <row r="1927" spans="1:7" x14ac:dyDescent="0.2">
      <c r="A1927" s="27" t="s">
        <v>158</v>
      </c>
      <c r="B1927" s="83">
        <v>1613.4848333333337</v>
      </c>
      <c r="C1927" s="45">
        <v>1</v>
      </c>
      <c r="D1927" s="25" t="s">
        <v>101</v>
      </c>
      <c r="E1927" s="261">
        <v>0</v>
      </c>
      <c r="F1927" s="168">
        <f>+B1927*C1927*(1+E1927)</f>
        <v>1613.4848333333337</v>
      </c>
    </row>
    <row r="1928" spans="1:7" ht="15" thickBot="1" x14ac:dyDescent="0.25">
      <c r="A1928" s="20"/>
      <c r="B1928" s="39"/>
      <c r="C1928" s="38"/>
      <c r="D1928" s="21"/>
      <c r="E1928" s="259"/>
      <c r="F1928" s="166"/>
    </row>
    <row r="1929" spans="1:7" ht="15" x14ac:dyDescent="0.25">
      <c r="A1929" s="28" t="s">
        <v>116</v>
      </c>
      <c r="B1929" s="49"/>
      <c r="C1929" s="50"/>
      <c r="D1929" s="29"/>
      <c r="E1929" s="262"/>
      <c r="F1929" s="164"/>
    </row>
    <row r="1930" spans="1:7" x14ac:dyDescent="0.2">
      <c r="A1930" s="27" t="s">
        <v>92</v>
      </c>
      <c r="B1930" s="83">
        <v>968.09090000000003</v>
      </c>
      <c r="C1930" s="45">
        <v>1</v>
      </c>
      <c r="D1930" s="25" t="s">
        <v>85</v>
      </c>
      <c r="E1930" s="261">
        <v>0</v>
      </c>
      <c r="F1930" s="168">
        <f>+B1930*C1930*(1+E1930)</f>
        <v>968.09090000000003</v>
      </c>
    </row>
    <row r="1931" spans="1:7" ht="15" thickBot="1" x14ac:dyDescent="0.25">
      <c r="A1931" s="20"/>
      <c r="B1931" s="39"/>
      <c r="C1931" s="38"/>
      <c r="D1931" s="21"/>
      <c r="E1931" s="259"/>
      <c r="F1931" s="166"/>
    </row>
    <row r="1932" spans="1:7" ht="15" x14ac:dyDescent="0.25">
      <c r="A1932" s="24" t="s">
        <v>70</v>
      </c>
      <c r="B1932" s="44"/>
      <c r="C1932" s="45"/>
      <c r="D1932" s="25"/>
      <c r="E1932" s="261"/>
      <c r="F1932" s="168"/>
    </row>
    <row r="1933" spans="1:7" x14ac:dyDescent="0.2">
      <c r="A1933" s="27" t="s">
        <v>70</v>
      </c>
      <c r="B1933" s="44">
        <v>9198.3962499999998</v>
      </c>
      <c r="C1933" s="45">
        <v>1.5</v>
      </c>
      <c r="D1933" s="25" t="s">
        <v>213</v>
      </c>
      <c r="E1933" s="261">
        <v>0</v>
      </c>
      <c r="F1933" s="168">
        <f>+B1933*C1933*(1+E1933)</f>
        <v>13797.594375000001</v>
      </c>
    </row>
    <row r="1934" spans="1:7" ht="15" thickBot="1" x14ac:dyDescent="0.25">
      <c r="A1934" s="27"/>
      <c r="B1934" s="44"/>
      <c r="C1934" s="45"/>
      <c r="D1934" s="25"/>
      <c r="E1934" s="261"/>
      <c r="F1934" s="168"/>
    </row>
    <row r="1935" spans="1:7" ht="15.75" thickBot="1" x14ac:dyDescent="0.3">
      <c r="A1935" s="30"/>
      <c r="B1935" s="52"/>
      <c r="C1935" s="53"/>
      <c r="D1935" s="31"/>
      <c r="E1935" s="263" t="s">
        <v>241</v>
      </c>
      <c r="F1935" s="169">
        <f>SUM(F1922:F1933)</f>
        <v>48648.86677500001</v>
      </c>
    </row>
    <row r="1937" spans="1:7" ht="15" thickBot="1" x14ac:dyDescent="0.25"/>
    <row r="1938" spans="1:7" x14ac:dyDescent="0.2">
      <c r="A1938" s="16" t="s">
        <v>28</v>
      </c>
      <c r="B1938" s="33"/>
      <c r="C1938" s="34"/>
      <c r="D1938" s="17"/>
      <c r="E1938" s="257"/>
      <c r="F1938" s="164"/>
    </row>
    <row r="1939" spans="1:7" ht="76.5" x14ac:dyDescent="0.2">
      <c r="A1939" s="90" t="s">
        <v>866</v>
      </c>
      <c r="B1939" s="91"/>
      <c r="C1939" s="92"/>
      <c r="D1939" s="91" t="s">
        <v>233</v>
      </c>
      <c r="E1939" s="264" t="s">
        <v>75</v>
      </c>
      <c r="F1939" s="170"/>
    </row>
    <row r="1940" spans="1:7" ht="15" thickBot="1" x14ac:dyDescent="0.25">
      <c r="A1940" s="20"/>
      <c r="B1940" s="37"/>
      <c r="C1940" s="38"/>
      <c r="D1940" s="21"/>
      <c r="E1940" s="259"/>
      <c r="F1940" s="166"/>
    </row>
    <row r="1941" spans="1:7" ht="15" thickBot="1" x14ac:dyDescent="0.25">
      <c r="A1941" s="22" t="s">
        <v>234</v>
      </c>
      <c r="B1941" s="41" t="s">
        <v>235</v>
      </c>
      <c r="C1941" s="42" t="s">
        <v>236</v>
      </c>
      <c r="D1941" s="23" t="s">
        <v>237</v>
      </c>
      <c r="E1941" s="260" t="s">
        <v>67</v>
      </c>
      <c r="F1941" s="167" t="s">
        <v>238</v>
      </c>
    </row>
    <row r="1942" spans="1:7" ht="15.75" thickTop="1" x14ac:dyDescent="0.25">
      <c r="A1942" s="24" t="s">
        <v>239</v>
      </c>
      <c r="B1942" s="44"/>
      <c r="C1942" s="45"/>
      <c r="D1942" s="25"/>
      <c r="E1942" s="261"/>
      <c r="F1942" s="168"/>
    </row>
    <row r="1943" spans="1:7" ht="28.5" x14ac:dyDescent="0.2">
      <c r="A1943" s="27" t="s">
        <v>295</v>
      </c>
      <c r="B1943" s="44">
        <v>14201</v>
      </c>
      <c r="C1943" s="45">
        <v>1</v>
      </c>
      <c r="D1943" s="25" t="s">
        <v>85</v>
      </c>
      <c r="E1943" s="261">
        <v>0.03</v>
      </c>
      <c r="F1943" s="168">
        <f>+B1943*C1943*(1+E1943)</f>
        <v>14627.03</v>
      </c>
    </row>
    <row r="1944" spans="1:7" x14ac:dyDescent="0.2">
      <c r="A1944" s="27" t="s">
        <v>296</v>
      </c>
      <c r="B1944" s="44">
        <v>30887</v>
      </c>
      <c r="C1944" s="45">
        <v>2</v>
      </c>
      <c r="D1944" s="25" t="s">
        <v>105</v>
      </c>
      <c r="E1944" s="261">
        <v>0.03</v>
      </c>
      <c r="F1944" s="168">
        <f>+B1944*C1944*(1+E1944)</f>
        <v>63627.22</v>
      </c>
    </row>
    <row r="1945" spans="1:7" x14ac:dyDescent="0.2">
      <c r="A1945" s="27" t="s">
        <v>297</v>
      </c>
      <c r="B1945" s="44">
        <v>16331</v>
      </c>
      <c r="C1945" s="45">
        <v>0.05</v>
      </c>
      <c r="D1945" s="25" t="s">
        <v>111</v>
      </c>
      <c r="E1945" s="261">
        <v>0</v>
      </c>
      <c r="F1945" s="168">
        <f>+B1945*C1945*(1+E1945)</f>
        <v>816.55000000000007</v>
      </c>
    </row>
    <row r="1946" spans="1:7" x14ac:dyDescent="0.2">
      <c r="A1946" s="27" t="s">
        <v>288</v>
      </c>
      <c r="B1946" s="44">
        <v>35014</v>
      </c>
      <c r="C1946" s="45">
        <v>0.03</v>
      </c>
      <c r="D1946" s="25" t="s">
        <v>114</v>
      </c>
      <c r="E1946" s="261">
        <v>0</v>
      </c>
      <c r="F1946" s="168">
        <f>+B1946*C1946*(1+E1946)</f>
        <v>1050.42</v>
      </c>
    </row>
    <row r="1947" spans="1:7" x14ac:dyDescent="0.2">
      <c r="A1947" s="27" t="s">
        <v>298</v>
      </c>
      <c r="B1947" s="44">
        <v>3217</v>
      </c>
      <c r="C1947" s="45">
        <v>3</v>
      </c>
      <c r="D1947" s="25" t="s">
        <v>105</v>
      </c>
      <c r="E1947" s="261">
        <v>0</v>
      </c>
      <c r="F1947" s="168">
        <f>+B1947*C1947*(1+E1947)</f>
        <v>9651</v>
      </c>
    </row>
    <row r="1948" spans="1:7" ht="15" thickBot="1" x14ac:dyDescent="0.25">
      <c r="A1948" s="20"/>
      <c r="B1948" s="39"/>
      <c r="C1948" s="38"/>
      <c r="D1948" s="21"/>
      <c r="E1948" s="259"/>
      <c r="F1948" s="166"/>
      <c r="G1948" s="15">
        <f>SUM(F1943:F1947)</f>
        <v>89772.22</v>
      </c>
    </row>
    <row r="1949" spans="1:7" ht="15" x14ac:dyDescent="0.25">
      <c r="A1949" s="28" t="s">
        <v>240</v>
      </c>
      <c r="B1949" s="49"/>
      <c r="C1949" s="50"/>
      <c r="D1949" s="29"/>
      <c r="E1949" s="262"/>
      <c r="F1949" s="164"/>
    </row>
    <row r="1950" spans="1:7" x14ac:dyDescent="0.2">
      <c r="A1950" s="27" t="s">
        <v>158</v>
      </c>
      <c r="B1950" s="83">
        <v>4488.6109999999999</v>
      </c>
      <c r="C1950" s="45">
        <v>1</v>
      </c>
      <c r="D1950" s="25" t="s">
        <v>101</v>
      </c>
      <c r="E1950" s="261">
        <v>0</v>
      </c>
      <c r="F1950" s="168">
        <f>+B1950*C1950*(1+E1950)</f>
        <v>4488.6109999999999</v>
      </c>
    </row>
    <row r="1951" spans="1:7" ht="15" thickBot="1" x14ac:dyDescent="0.25">
      <c r="A1951" s="20"/>
      <c r="B1951" s="39"/>
      <c r="C1951" s="38"/>
      <c r="D1951" s="21"/>
      <c r="E1951" s="259"/>
      <c r="F1951" s="166"/>
    </row>
    <row r="1952" spans="1:7" ht="15" x14ac:dyDescent="0.25">
      <c r="A1952" s="28" t="s">
        <v>116</v>
      </c>
      <c r="B1952" s="49"/>
      <c r="C1952" s="50"/>
      <c r="D1952" s="29"/>
      <c r="E1952" s="262"/>
      <c r="F1952" s="164"/>
    </row>
    <row r="1953" spans="1:6" x14ac:dyDescent="0.2">
      <c r="A1953" s="27" t="s">
        <v>92</v>
      </c>
      <c r="B1953" s="83">
        <v>2693.1666</v>
      </c>
      <c r="C1953" s="45">
        <v>1</v>
      </c>
      <c r="D1953" s="25" t="s">
        <v>85</v>
      </c>
      <c r="E1953" s="261">
        <v>0</v>
      </c>
      <c r="F1953" s="168">
        <f>+B1953*C1953*(1+E1953)</f>
        <v>2693.1666</v>
      </c>
    </row>
    <row r="1954" spans="1:6" ht="15" thickBot="1" x14ac:dyDescent="0.25">
      <c r="A1954" s="20"/>
      <c r="B1954" s="39"/>
      <c r="C1954" s="38"/>
      <c r="D1954" s="21"/>
      <c r="E1954" s="259"/>
      <c r="F1954" s="166"/>
    </row>
    <row r="1955" spans="1:6" ht="15" x14ac:dyDescent="0.25">
      <c r="A1955" s="24" t="s">
        <v>70</v>
      </c>
      <c r="B1955" s="44"/>
      <c r="C1955" s="45"/>
      <c r="D1955" s="25"/>
      <c r="E1955" s="261"/>
      <c r="F1955" s="168"/>
    </row>
    <row r="1956" spans="1:6" x14ac:dyDescent="0.2">
      <c r="A1956" s="27" t="s">
        <v>70</v>
      </c>
      <c r="B1956" s="44">
        <v>9198.3962499999998</v>
      </c>
      <c r="C1956" s="45">
        <v>3</v>
      </c>
      <c r="D1956" s="25" t="s">
        <v>213</v>
      </c>
      <c r="E1956" s="261">
        <v>0</v>
      </c>
      <c r="F1956" s="168">
        <f>+B1956*C1956*(1+E1956)</f>
        <v>27595.188750000001</v>
      </c>
    </row>
    <row r="1957" spans="1:6" ht="15" thickBot="1" x14ac:dyDescent="0.25">
      <c r="A1957" s="27"/>
      <c r="B1957" s="44"/>
      <c r="C1957" s="45"/>
      <c r="D1957" s="25"/>
      <c r="E1957" s="261"/>
      <c r="F1957" s="168"/>
    </row>
    <row r="1958" spans="1:6" ht="15.75" thickBot="1" x14ac:dyDescent="0.3">
      <c r="A1958" s="30"/>
      <c r="B1958" s="52"/>
      <c r="C1958" s="53"/>
      <c r="D1958" s="31"/>
      <c r="E1958" s="263" t="s">
        <v>241</v>
      </c>
      <c r="F1958" s="169">
        <f>SUM(F1943:F1956)</f>
        <v>124549.18635</v>
      </c>
    </row>
    <row r="1961" spans="1:6" ht="15" thickBot="1" x14ac:dyDescent="0.25"/>
    <row r="1962" spans="1:6" x14ac:dyDescent="0.2">
      <c r="A1962" s="16" t="s">
        <v>28</v>
      </c>
      <c r="B1962" s="33"/>
      <c r="C1962" s="34"/>
      <c r="D1962" s="17"/>
      <c r="E1962" s="257"/>
      <c r="F1962" s="164"/>
    </row>
    <row r="1963" spans="1:6" ht="38.25" x14ac:dyDescent="0.2">
      <c r="A1963" s="90" t="s">
        <v>867</v>
      </c>
      <c r="B1963" s="91"/>
      <c r="C1963" s="92"/>
      <c r="D1963" s="91" t="s">
        <v>233</v>
      </c>
      <c r="E1963" s="264" t="s">
        <v>80</v>
      </c>
      <c r="F1963" s="170"/>
    </row>
    <row r="1964" spans="1:6" ht="15" thickBot="1" x14ac:dyDescent="0.25">
      <c r="A1964" s="20"/>
      <c r="B1964" s="37"/>
      <c r="C1964" s="38"/>
      <c r="D1964" s="21"/>
      <c r="E1964" s="259"/>
      <c r="F1964" s="166"/>
    </row>
    <row r="1965" spans="1:6" ht="15" thickBot="1" x14ac:dyDescent="0.25">
      <c r="A1965" s="22" t="s">
        <v>234</v>
      </c>
      <c r="B1965" s="41" t="s">
        <v>235</v>
      </c>
      <c r="C1965" s="42" t="s">
        <v>236</v>
      </c>
      <c r="D1965" s="23" t="s">
        <v>237</v>
      </c>
      <c r="E1965" s="260" t="s">
        <v>67</v>
      </c>
      <c r="F1965" s="167" t="s">
        <v>238</v>
      </c>
    </row>
    <row r="1966" spans="1:6" ht="15.75" thickTop="1" x14ac:dyDescent="0.25">
      <c r="A1966" s="24" t="s">
        <v>239</v>
      </c>
      <c r="B1966" s="44"/>
      <c r="C1966" s="45"/>
      <c r="D1966" s="25"/>
      <c r="E1966" s="261"/>
      <c r="F1966" s="168"/>
    </row>
    <row r="1967" spans="1:6" x14ac:dyDescent="0.2">
      <c r="A1967" s="27" t="s">
        <v>331</v>
      </c>
      <c r="B1967" s="44">
        <v>14201</v>
      </c>
      <c r="C1967" s="45">
        <v>0.35</v>
      </c>
      <c r="D1967" s="25" t="s">
        <v>334</v>
      </c>
      <c r="E1967" s="261">
        <v>0.03</v>
      </c>
      <c r="F1967" s="168">
        <f>+B1967*C1967*(1+E1967)</f>
        <v>5119.4604999999992</v>
      </c>
    </row>
    <row r="1968" spans="1:6" x14ac:dyDescent="0.2">
      <c r="A1968" s="27" t="s">
        <v>332</v>
      </c>
      <c r="B1968" s="44">
        <v>30887</v>
      </c>
      <c r="C1968" s="45">
        <v>0.35</v>
      </c>
      <c r="D1968" s="25" t="s">
        <v>82</v>
      </c>
      <c r="E1968" s="261">
        <v>0.03</v>
      </c>
      <c r="F1968" s="168">
        <f>+B1968*C1968*(1+E1968)</f>
        <v>11134.763499999999</v>
      </c>
    </row>
    <row r="1969" spans="1:7" x14ac:dyDescent="0.2">
      <c r="A1969" s="27" t="s">
        <v>333</v>
      </c>
      <c r="B1969" s="44">
        <v>16331</v>
      </c>
      <c r="C1969" s="45">
        <v>0.5</v>
      </c>
      <c r="D1969" s="25" t="s">
        <v>112</v>
      </c>
      <c r="E1969" s="261">
        <v>0</v>
      </c>
      <c r="F1969" s="168">
        <f>+B1969*C1969*(1+E1969)</f>
        <v>8165.5</v>
      </c>
    </row>
    <row r="1970" spans="1:7" x14ac:dyDescent="0.2">
      <c r="A1970" s="27" t="s">
        <v>288</v>
      </c>
      <c r="B1970" s="44">
        <v>35014</v>
      </c>
      <c r="C1970" s="45">
        <v>0.08</v>
      </c>
      <c r="D1970" s="25" t="s">
        <v>103</v>
      </c>
      <c r="E1970" s="261">
        <v>0</v>
      </c>
      <c r="F1970" s="168">
        <f>+B1970*C1970*(1+E1970)</f>
        <v>2801.12</v>
      </c>
    </row>
    <row r="1971" spans="1:7" x14ac:dyDescent="0.2">
      <c r="A1971" s="27" t="s">
        <v>932</v>
      </c>
      <c r="B1971" s="44">
        <v>56000</v>
      </c>
      <c r="C1971" s="45">
        <f>1/25</f>
        <v>0.04</v>
      </c>
      <c r="D1971" s="25" t="str">
        <f>+D1970</f>
        <v>GAL/ML</v>
      </c>
      <c r="E1971" s="261">
        <v>0.03</v>
      </c>
      <c r="F1971" s="168">
        <f>+B1971*C1971*(1+E1971)</f>
        <v>2307.2000000000003</v>
      </c>
    </row>
    <row r="1972" spans="1:7" ht="15" thickBot="1" x14ac:dyDescent="0.25">
      <c r="A1972" s="20"/>
      <c r="B1972" s="39"/>
      <c r="C1972" s="38"/>
      <c r="D1972" s="21"/>
      <c r="E1972" s="259"/>
      <c r="F1972" s="166"/>
      <c r="G1972" s="15">
        <f>SUM(F1967:F1970)</f>
        <v>27220.843999999997</v>
      </c>
    </row>
    <row r="1973" spans="1:7" ht="15" x14ac:dyDescent="0.25">
      <c r="A1973" s="28" t="s">
        <v>240</v>
      </c>
      <c r="B1973" s="49"/>
      <c r="C1973" s="50"/>
      <c r="D1973" s="29"/>
      <c r="E1973" s="262"/>
      <c r="F1973" s="164"/>
    </row>
    <row r="1974" spans="1:7" x14ac:dyDescent="0.2">
      <c r="A1974" s="27" t="s">
        <v>158</v>
      </c>
      <c r="B1974" s="83">
        <v>1361.0421999999999</v>
      </c>
      <c r="C1974" s="45">
        <v>1</v>
      </c>
      <c r="D1974" s="25" t="s">
        <v>101</v>
      </c>
      <c r="E1974" s="261">
        <v>0</v>
      </c>
      <c r="F1974" s="168">
        <f>+B1974*C1974*(1+E1974)</f>
        <v>1361.0421999999999</v>
      </c>
    </row>
    <row r="1975" spans="1:7" ht="15" thickBot="1" x14ac:dyDescent="0.25">
      <c r="A1975" s="20"/>
      <c r="B1975" s="39"/>
      <c r="C1975" s="38"/>
      <c r="D1975" s="21"/>
      <c r="E1975" s="259"/>
      <c r="F1975" s="166"/>
    </row>
    <row r="1976" spans="1:7" ht="15" x14ac:dyDescent="0.25">
      <c r="A1976" s="28" t="s">
        <v>116</v>
      </c>
      <c r="B1976" s="49"/>
      <c r="C1976" s="50"/>
      <c r="D1976" s="29"/>
      <c r="E1976" s="262"/>
      <c r="F1976" s="164"/>
    </row>
    <row r="1977" spans="1:7" x14ac:dyDescent="0.2">
      <c r="A1977" s="27" t="s">
        <v>92</v>
      </c>
      <c r="B1977" s="83">
        <v>816.62531999999987</v>
      </c>
      <c r="C1977" s="45">
        <v>1</v>
      </c>
      <c r="D1977" s="25" t="s">
        <v>85</v>
      </c>
      <c r="E1977" s="261">
        <v>0</v>
      </c>
      <c r="F1977" s="168">
        <f>+B1977*C1977*(1+E1977)</f>
        <v>816.62531999999987</v>
      </c>
    </row>
    <row r="1978" spans="1:7" ht="15" thickBot="1" x14ac:dyDescent="0.25">
      <c r="A1978" s="20"/>
      <c r="B1978" s="39"/>
      <c r="C1978" s="38"/>
      <c r="D1978" s="21"/>
      <c r="E1978" s="259"/>
      <c r="F1978" s="166"/>
    </row>
    <row r="1979" spans="1:7" ht="15" x14ac:dyDescent="0.25">
      <c r="A1979" s="24" t="s">
        <v>70</v>
      </c>
      <c r="B1979" s="44"/>
      <c r="C1979" s="45"/>
      <c r="D1979" s="25"/>
      <c r="E1979" s="261"/>
      <c r="F1979" s="168"/>
    </row>
    <row r="1980" spans="1:7" x14ac:dyDescent="0.2">
      <c r="A1980" s="27" t="s">
        <v>70</v>
      </c>
      <c r="B1980" s="44">
        <v>9198.3962499999998</v>
      </c>
      <c r="C1980" s="45">
        <v>4</v>
      </c>
      <c r="D1980" s="25" t="s">
        <v>213</v>
      </c>
      <c r="E1980" s="261">
        <v>0</v>
      </c>
      <c r="F1980" s="168">
        <f>+B1980*C1980*(1+E1980)</f>
        <v>36793.584999999999</v>
      </c>
    </row>
    <row r="1981" spans="1:7" ht="15" thickBot="1" x14ac:dyDescent="0.25">
      <c r="A1981" s="27"/>
      <c r="B1981" s="44"/>
      <c r="C1981" s="45"/>
      <c r="D1981" s="25"/>
      <c r="E1981" s="261"/>
      <c r="F1981" s="168"/>
    </row>
    <row r="1982" spans="1:7" ht="15.75" thickBot="1" x14ac:dyDescent="0.3">
      <c r="A1982" s="30"/>
      <c r="B1982" s="52"/>
      <c r="C1982" s="53"/>
      <c r="D1982" s="31"/>
      <c r="E1982" s="263" t="s">
        <v>241</v>
      </c>
      <c r="F1982" s="169">
        <f>SUM(F1967:F1980)</f>
        <v>68499.296520000004</v>
      </c>
    </row>
    <row r="1983" spans="1:7" ht="15" x14ac:dyDescent="0.25">
      <c r="A1983" s="26"/>
      <c r="B1983" s="44"/>
      <c r="C1983" s="45"/>
      <c r="D1983" s="25"/>
      <c r="E1983" s="271"/>
      <c r="F1983" s="176"/>
    </row>
    <row r="1984" spans="1:7" ht="15" x14ac:dyDescent="0.25">
      <c r="A1984" s="26"/>
      <c r="B1984" s="44"/>
      <c r="C1984" s="45"/>
      <c r="D1984" s="25"/>
      <c r="E1984" s="271"/>
      <c r="F1984" s="176"/>
    </row>
    <row r="1985" spans="1:7" ht="15.75" thickBot="1" x14ac:dyDescent="0.3">
      <c r="A1985" s="26"/>
      <c r="B1985" s="44"/>
      <c r="C1985" s="45"/>
      <c r="D1985" s="25"/>
      <c r="E1985" s="271"/>
      <c r="F1985" s="176"/>
    </row>
    <row r="1986" spans="1:7" x14ac:dyDescent="0.2">
      <c r="A1986" s="16" t="s">
        <v>28</v>
      </c>
      <c r="B1986" s="33"/>
      <c r="C1986" s="34"/>
      <c r="D1986" s="17"/>
      <c r="E1986" s="257"/>
      <c r="F1986" s="164"/>
    </row>
    <row r="1987" spans="1:7" ht="25.5" x14ac:dyDescent="0.2">
      <c r="A1987" s="90" t="s">
        <v>868</v>
      </c>
      <c r="B1987" s="91"/>
      <c r="C1987" s="92"/>
      <c r="D1987" s="91" t="s">
        <v>233</v>
      </c>
      <c r="E1987" s="264" t="s">
        <v>75</v>
      </c>
      <c r="F1987" s="170"/>
    </row>
    <row r="1988" spans="1:7" ht="15" thickBot="1" x14ac:dyDescent="0.25">
      <c r="A1988" s="20"/>
      <c r="B1988" s="37"/>
      <c r="C1988" s="38"/>
      <c r="D1988" s="21"/>
      <c r="E1988" s="259"/>
      <c r="F1988" s="166"/>
    </row>
    <row r="1989" spans="1:7" ht="15" thickBot="1" x14ac:dyDescent="0.25">
      <c r="A1989" s="22" t="s">
        <v>234</v>
      </c>
      <c r="B1989" s="41" t="s">
        <v>235</v>
      </c>
      <c r="C1989" s="42" t="s">
        <v>236</v>
      </c>
      <c r="D1989" s="23" t="s">
        <v>237</v>
      </c>
      <c r="E1989" s="260" t="s">
        <v>67</v>
      </c>
      <c r="F1989" s="167" t="s">
        <v>238</v>
      </c>
    </row>
    <row r="1990" spans="1:7" ht="15.75" thickTop="1" x14ac:dyDescent="0.25">
      <c r="A1990" s="24" t="s">
        <v>239</v>
      </c>
      <c r="B1990" s="44"/>
      <c r="C1990" s="45"/>
      <c r="D1990" s="25"/>
      <c r="E1990" s="261"/>
      <c r="F1990" s="168"/>
    </row>
    <row r="1991" spans="1:7" x14ac:dyDescent="0.2">
      <c r="A1991" s="27" t="s">
        <v>416</v>
      </c>
      <c r="B1991" s="44">
        <v>3500</v>
      </c>
      <c r="C1991" s="45">
        <v>8</v>
      </c>
      <c r="D1991" s="25" t="s">
        <v>369</v>
      </c>
      <c r="E1991" s="261">
        <v>0.03</v>
      </c>
      <c r="F1991" s="168">
        <f t="shared" ref="F1991:F1999" si="28">+B1991*C1991*(1+E1991)</f>
        <v>28840</v>
      </c>
    </row>
    <row r="1992" spans="1:7" x14ac:dyDescent="0.2">
      <c r="A1992" s="27" t="s">
        <v>417</v>
      </c>
      <c r="B1992" s="44">
        <v>31000</v>
      </c>
      <c r="C1992" s="45">
        <v>1</v>
      </c>
      <c r="D1992" s="25" t="s">
        <v>85</v>
      </c>
      <c r="E1992" s="261">
        <v>0.03</v>
      </c>
      <c r="F1992" s="168">
        <f t="shared" si="28"/>
        <v>31930</v>
      </c>
    </row>
    <row r="1993" spans="1:7" x14ac:dyDescent="0.2">
      <c r="A1993" s="27" t="s">
        <v>418</v>
      </c>
      <c r="B1993" s="44">
        <v>10234</v>
      </c>
      <c r="C1993" s="45">
        <v>0.5</v>
      </c>
      <c r="D1993" s="25" t="s">
        <v>369</v>
      </c>
      <c r="E1993" s="261">
        <v>0.03</v>
      </c>
      <c r="F1993" s="168">
        <f t="shared" si="28"/>
        <v>5270.51</v>
      </c>
    </row>
    <row r="1994" spans="1:7" x14ac:dyDescent="0.2">
      <c r="A1994" s="27" t="s">
        <v>422</v>
      </c>
      <c r="B1994" s="44">
        <v>3080</v>
      </c>
      <c r="C1994" s="45">
        <v>1</v>
      </c>
      <c r="D1994" s="25" t="s">
        <v>369</v>
      </c>
      <c r="E1994" s="261">
        <v>0</v>
      </c>
      <c r="F1994" s="168">
        <f t="shared" si="28"/>
        <v>3080</v>
      </c>
    </row>
    <row r="1995" spans="1:7" x14ac:dyDescent="0.2">
      <c r="A1995" s="27" t="s">
        <v>423</v>
      </c>
      <c r="B1995" s="44">
        <v>1800</v>
      </c>
      <c r="C1995" s="45">
        <v>2</v>
      </c>
      <c r="D1995" s="25" t="s">
        <v>369</v>
      </c>
      <c r="E1995" s="261"/>
      <c r="F1995" s="168">
        <f t="shared" si="28"/>
        <v>3600</v>
      </c>
    </row>
    <row r="1996" spans="1:7" x14ac:dyDescent="0.2">
      <c r="A1996" s="27" t="s">
        <v>419</v>
      </c>
      <c r="B1996" s="44">
        <v>26</v>
      </c>
      <c r="C1996" s="45">
        <v>8</v>
      </c>
      <c r="D1996" s="25" t="s">
        <v>369</v>
      </c>
      <c r="E1996" s="261">
        <v>0</v>
      </c>
      <c r="F1996" s="168">
        <f t="shared" si="28"/>
        <v>208</v>
      </c>
    </row>
    <row r="1997" spans="1:7" x14ac:dyDescent="0.2">
      <c r="A1997" s="27" t="s">
        <v>424</v>
      </c>
      <c r="B1997" s="44">
        <v>33</v>
      </c>
      <c r="C1997" s="45">
        <v>8</v>
      </c>
      <c r="D1997" s="25"/>
      <c r="E1997" s="261"/>
      <c r="F1997" s="168">
        <f t="shared" si="28"/>
        <v>264</v>
      </c>
    </row>
    <row r="1998" spans="1:7" x14ac:dyDescent="0.2">
      <c r="A1998" s="27" t="s">
        <v>420</v>
      </c>
      <c r="B1998" s="44">
        <v>82350</v>
      </c>
      <c r="C1998" s="45">
        <v>1</v>
      </c>
      <c r="D1998" s="25" t="s">
        <v>369</v>
      </c>
      <c r="E1998" s="261">
        <v>0.03</v>
      </c>
      <c r="F1998" s="168">
        <f t="shared" si="28"/>
        <v>84820.5</v>
      </c>
    </row>
    <row r="1999" spans="1:7" x14ac:dyDescent="0.2">
      <c r="A1999" s="27" t="s">
        <v>421</v>
      </c>
      <c r="B1999" s="44">
        <v>1600</v>
      </c>
      <c r="C1999" s="45">
        <v>2</v>
      </c>
      <c r="D1999" s="25" t="s">
        <v>369</v>
      </c>
      <c r="E1999" s="261">
        <v>0</v>
      </c>
      <c r="F1999" s="168">
        <f t="shared" si="28"/>
        <v>3200</v>
      </c>
    </row>
    <row r="2000" spans="1:7" ht="15" thickBot="1" x14ac:dyDescent="0.25">
      <c r="A2000" s="20"/>
      <c r="B2000" s="39"/>
      <c r="C2000" s="38"/>
      <c r="D2000" s="21"/>
      <c r="E2000" s="259"/>
      <c r="F2000" s="166"/>
      <c r="G2000" s="15">
        <f>SUM(F1991:F1999)</f>
        <v>161213.01</v>
      </c>
    </row>
    <row r="2001" spans="1:6" ht="15" x14ac:dyDescent="0.25">
      <c r="A2001" s="28" t="s">
        <v>240</v>
      </c>
      <c r="B2001" s="49"/>
      <c r="C2001" s="50"/>
      <c r="D2001" s="29"/>
      <c r="E2001" s="262"/>
      <c r="F2001" s="164"/>
    </row>
    <row r="2002" spans="1:6" x14ac:dyDescent="0.2">
      <c r="A2002" s="27" t="s">
        <v>158</v>
      </c>
      <c r="B2002" s="83">
        <v>8060.6505000000006</v>
      </c>
      <c r="C2002" s="45">
        <v>1</v>
      </c>
      <c r="D2002" s="25" t="s">
        <v>101</v>
      </c>
      <c r="E2002" s="261">
        <v>0</v>
      </c>
      <c r="F2002" s="168">
        <f>+B2002*C2002*(1+E2002)</f>
        <v>8060.6505000000006</v>
      </c>
    </row>
    <row r="2003" spans="1:6" ht="15" thickBot="1" x14ac:dyDescent="0.25">
      <c r="A2003" s="20"/>
      <c r="B2003" s="39"/>
      <c r="C2003" s="38"/>
      <c r="D2003" s="21"/>
      <c r="E2003" s="259"/>
      <c r="F2003" s="166"/>
    </row>
    <row r="2004" spans="1:6" ht="15" x14ac:dyDescent="0.25">
      <c r="A2004" s="28" t="s">
        <v>116</v>
      </c>
      <c r="B2004" s="49"/>
      <c r="C2004" s="50"/>
      <c r="D2004" s="29"/>
      <c r="E2004" s="262"/>
      <c r="F2004" s="164"/>
    </row>
    <row r="2005" spans="1:6" x14ac:dyDescent="0.2">
      <c r="A2005" s="27" t="s">
        <v>92</v>
      </c>
      <c r="B2005" s="83">
        <v>4836.3903</v>
      </c>
      <c r="C2005" s="45">
        <v>1</v>
      </c>
      <c r="D2005" s="25" t="s">
        <v>85</v>
      </c>
      <c r="E2005" s="261">
        <v>0</v>
      </c>
      <c r="F2005" s="168">
        <f>+B2005*C2005*(1+E2005)</f>
        <v>4836.3903</v>
      </c>
    </row>
    <row r="2006" spans="1:6" ht="15" thickBot="1" x14ac:dyDescent="0.25">
      <c r="A2006" s="20"/>
      <c r="B2006" s="39"/>
      <c r="C2006" s="38"/>
      <c r="D2006" s="21"/>
      <c r="E2006" s="259"/>
      <c r="F2006" s="166"/>
    </row>
    <row r="2007" spans="1:6" ht="15" x14ac:dyDescent="0.25">
      <c r="A2007" s="24" t="s">
        <v>70</v>
      </c>
      <c r="B2007" s="44"/>
      <c r="C2007" s="45"/>
      <c r="D2007" s="25"/>
      <c r="E2007" s="261"/>
      <c r="F2007" s="168"/>
    </row>
    <row r="2008" spans="1:6" x14ac:dyDescent="0.2">
      <c r="A2008" s="27" t="s">
        <v>70</v>
      </c>
      <c r="B2008" s="44">
        <v>9198.3962499999998</v>
      </c>
      <c r="C2008" s="45">
        <v>1</v>
      </c>
      <c r="D2008" s="25" t="s">
        <v>213</v>
      </c>
      <c r="E2008" s="261">
        <v>0</v>
      </c>
      <c r="F2008" s="168">
        <f>+B2008*C2008*(1+E2008)</f>
        <v>9198.3962499999998</v>
      </c>
    </row>
    <row r="2009" spans="1:6" ht="15" thickBot="1" x14ac:dyDescent="0.25">
      <c r="A2009" s="27"/>
      <c r="B2009" s="44"/>
      <c r="C2009" s="45"/>
      <c r="D2009" s="25"/>
      <c r="E2009" s="261"/>
      <c r="F2009" s="168"/>
    </row>
    <row r="2010" spans="1:6" ht="15.75" thickBot="1" x14ac:dyDescent="0.3">
      <c r="A2010" s="30"/>
      <c r="B2010" s="52"/>
      <c r="C2010" s="53"/>
      <c r="D2010" s="31"/>
      <c r="E2010" s="263" t="s">
        <v>241</v>
      </c>
      <c r="F2010" s="169">
        <f>SUM(F1991:F2008)</f>
        <v>183308.44704999999</v>
      </c>
    </row>
    <row r="2011" spans="1:6" ht="15" x14ac:dyDescent="0.25">
      <c r="A2011" s="26"/>
      <c r="B2011" s="44"/>
      <c r="C2011" s="45"/>
      <c r="D2011" s="25"/>
      <c r="E2011" s="271"/>
      <c r="F2011" s="176"/>
    </row>
    <row r="2012" spans="1:6" ht="15" x14ac:dyDescent="0.25">
      <c r="A2012" s="26"/>
      <c r="B2012" s="44"/>
      <c r="C2012" s="45"/>
      <c r="D2012" s="25"/>
      <c r="E2012" s="271"/>
      <c r="F2012" s="176"/>
    </row>
    <row r="2013" spans="1:6" ht="15.75" thickBot="1" x14ac:dyDescent="0.3">
      <c r="A2013" s="26"/>
      <c r="B2013" s="44"/>
      <c r="C2013" s="45"/>
      <c r="D2013" s="25"/>
      <c r="E2013" s="271"/>
      <c r="F2013" s="176"/>
    </row>
    <row r="2014" spans="1:6" x14ac:dyDescent="0.2">
      <c r="A2014" s="16" t="s">
        <v>28</v>
      </c>
      <c r="B2014" s="33"/>
      <c r="C2014" s="34"/>
      <c r="D2014" s="17"/>
      <c r="E2014" s="257"/>
      <c r="F2014" s="164"/>
    </row>
    <row r="2015" spans="1:6" ht="25.5" x14ac:dyDescent="0.2">
      <c r="A2015" s="90" t="s">
        <v>870</v>
      </c>
      <c r="B2015" s="91"/>
      <c r="C2015" s="92"/>
      <c r="D2015" s="91" t="s">
        <v>233</v>
      </c>
      <c r="E2015" s="264" t="s">
        <v>2</v>
      </c>
      <c r="F2015" s="170"/>
    </row>
    <row r="2016" spans="1:6" ht="15" thickBot="1" x14ac:dyDescent="0.25">
      <c r="A2016" s="20"/>
      <c r="B2016" s="37"/>
      <c r="C2016" s="38"/>
      <c r="D2016" s="21"/>
      <c r="E2016" s="259"/>
      <c r="F2016" s="166"/>
    </row>
    <row r="2017" spans="1:7" ht="15" thickBot="1" x14ac:dyDescent="0.25">
      <c r="A2017" s="22" t="s">
        <v>234</v>
      </c>
      <c r="B2017" s="41" t="s">
        <v>235</v>
      </c>
      <c r="C2017" s="42" t="s">
        <v>236</v>
      </c>
      <c r="D2017" s="23" t="s">
        <v>237</v>
      </c>
      <c r="E2017" s="260" t="s">
        <v>67</v>
      </c>
      <c r="F2017" s="167" t="s">
        <v>238</v>
      </c>
    </row>
    <row r="2018" spans="1:7" ht="15.75" thickTop="1" x14ac:dyDescent="0.25">
      <c r="A2018" s="24" t="s">
        <v>239</v>
      </c>
      <c r="B2018" s="44"/>
      <c r="C2018" s="45"/>
      <c r="D2018" s="25"/>
      <c r="E2018" s="261"/>
      <c r="F2018" s="168"/>
    </row>
    <row r="2019" spans="1:7" x14ac:dyDescent="0.2">
      <c r="A2019" s="27" t="s">
        <v>396</v>
      </c>
      <c r="B2019" s="44">
        <f>368900*1.19</f>
        <v>438991</v>
      </c>
      <c r="C2019" s="45">
        <v>1</v>
      </c>
      <c r="D2019" s="25" t="s">
        <v>285</v>
      </c>
      <c r="E2019" s="261">
        <v>0</v>
      </c>
      <c r="F2019" s="168">
        <f>+B2019*C2019*(1+E2019)</f>
        <v>438991</v>
      </c>
    </row>
    <row r="2020" spans="1:7" x14ac:dyDescent="0.2">
      <c r="A2020" s="27" t="s">
        <v>399</v>
      </c>
      <c r="B2020" s="44">
        <f>87200/30</f>
        <v>2906.6666666666665</v>
      </c>
      <c r="C2020" s="45">
        <v>16</v>
      </c>
      <c r="D2020" s="25" t="s">
        <v>105</v>
      </c>
      <c r="E2020" s="261">
        <v>0</v>
      </c>
      <c r="F2020" s="168">
        <f>+B2020*C2020*(1+E2020)</f>
        <v>46506.666666666664</v>
      </c>
    </row>
    <row r="2021" spans="1:7" ht="15" thickBot="1" x14ac:dyDescent="0.25">
      <c r="A2021" s="20"/>
      <c r="B2021" s="39"/>
      <c r="C2021" s="38"/>
      <c r="D2021" s="21"/>
      <c r="E2021" s="259"/>
      <c r="F2021" s="166"/>
      <c r="G2021" s="15">
        <f>SUM(F2019:F2020)</f>
        <v>485497.66666666669</v>
      </c>
    </row>
    <row r="2022" spans="1:7" ht="15" x14ac:dyDescent="0.25">
      <c r="A2022" s="28" t="s">
        <v>240</v>
      </c>
      <c r="B2022" s="49"/>
      <c r="C2022" s="50"/>
      <c r="D2022" s="29"/>
      <c r="E2022" s="262"/>
      <c r="F2022" s="164"/>
    </row>
    <row r="2023" spans="1:7" x14ac:dyDescent="0.2">
      <c r="A2023" s="27" t="s">
        <v>158</v>
      </c>
      <c r="B2023" s="83">
        <v>24274.883333333335</v>
      </c>
      <c r="C2023" s="45">
        <v>1</v>
      </c>
      <c r="D2023" s="25" t="s">
        <v>101</v>
      </c>
      <c r="E2023" s="261">
        <v>0</v>
      </c>
      <c r="F2023" s="168">
        <f>+B2023*C2023*(1+E2023)</f>
        <v>24274.883333333335</v>
      </c>
    </row>
    <row r="2024" spans="1:7" ht="15" thickBot="1" x14ac:dyDescent="0.25">
      <c r="A2024" s="20"/>
      <c r="B2024" s="39"/>
      <c r="C2024" s="38"/>
      <c r="D2024" s="21"/>
      <c r="E2024" s="259"/>
      <c r="F2024" s="166"/>
    </row>
    <row r="2025" spans="1:7" ht="15" x14ac:dyDescent="0.25">
      <c r="A2025" s="28" t="s">
        <v>116</v>
      </c>
      <c r="B2025" s="49"/>
      <c r="C2025" s="50"/>
      <c r="D2025" s="29"/>
      <c r="E2025" s="262"/>
      <c r="F2025" s="164"/>
    </row>
    <row r="2026" spans="1:7" x14ac:dyDescent="0.2">
      <c r="A2026" s="27" t="s">
        <v>92</v>
      </c>
      <c r="B2026" s="83">
        <v>14564.93</v>
      </c>
      <c r="C2026" s="45">
        <v>1</v>
      </c>
      <c r="D2026" s="25" t="s">
        <v>85</v>
      </c>
      <c r="E2026" s="261">
        <v>0</v>
      </c>
      <c r="F2026" s="168">
        <f>+B2026*C2026*(1+E2026)</f>
        <v>14564.93</v>
      </c>
    </row>
    <row r="2027" spans="1:7" ht="15" thickBot="1" x14ac:dyDescent="0.25">
      <c r="A2027" s="20"/>
      <c r="B2027" s="39"/>
      <c r="C2027" s="38"/>
      <c r="D2027" s="21"/>
      <c r="E2027" s="259"/>
      <c r="F2027" s="166"/>
    </row>
    <row r="2028" spans="1:7" ht="15" x14ac:dyDescent="0.25">
      <c r="A2028" s="24" t="s">
        <v>70</v>
      </c>
      <c r="B2028" s="44"/>
      <c r="C2028" s="45"/>
      <c r="D2028" s="25"/>
      <c r="E2028" s="261"/>
      <c r="F2028" s="168"/>
    </row>
    <row r="2029" spans="1:7" x14ac:dyDescent="0.2">
      <c r="A2029" s="27" t="s">
        <v>70</v>
      </c>
      <c r="B2029" s="44">
        <v>9198.3962499999998</v>
      </c>
      <c r="C2029" s="45">
        <v>1</v>
      </c>
      <c r="D2029" s="25" t="s">
        <v>213</v>
      </c>
      <c r="E2029" s="261">
        <v>0</v>
      </c>
      <c r="F2029" s="168">
        <f>+B2029*C2029*(1+E2029)</f>
        <v>9198.3962499999998</v>
      </c>
    </row>
    <row r="2030" spans="1:7" ht="15" thickBot="1" x14ac:dyDescent="0.25">
      <c r="A2030" s="27"/>
      <c r="B2030" s="44"/>
      <c r="C2030" s="45"/>
      <c r="D2030" s="25"/>
      <c r="E2030" s="261"/>
      <c r="F2030" s="168"/>
    </row>
    <row r="2031" spans="1:7" ht="15.75" thickBot="1" x14ac:dyDescent="0.3">
      <c r="A2031" s="30"/>
      <c r="B2031" s="52"/>
      <c r="C2031" s="53"/>
      <c r="D2031" s="31"/>
      <c r="E2031" s="263" t="s">
        <v>241</v>
      </c>
      <c r="F2031" s="169">
        <f>SUM(F2019:F2029)</f>
        <v>533535.87625000009</v>
      </c>
    </row>
    <row r="2032" spans="1:7" ht="15" x14ac:dyDescent="0.25">
      <c r="A2032" s="26"/>
      <c r="B2032" s="44"/>
      <c r="C2032" s="45"/>
      <c r="D2032" s="25"/>
      <c r="E2032" s="271"/>
      <c r="F2032" s="176"/>
    </row>
    <row r="2033" spans="1:7" ht="15" x14ac:dyDescent="0.25">
      <c r="A2033" s="26"/>
      <c r="B2033" s="44"/>
      <c r="C2033" s="45"/>
      <c r="D2033" s="25"/>
      <c r="E2033" s="271"/>
      <c r="F2033" s="176"/>
    </row>
    <row r="2034" spans="1:7" ht="15.75" thickBot="1" x14ac:dyDescent="0.3">
      <c r="A2034" s="26"/>
      <c r="B2034" s="44"/>
      <c r="C2034" s="45"/>
      <c r="D2034" s="25"/>
      <c r="E2034" s="271"/>
      <c r="F2034" s="176"/>
    </row>
    <row r="2035" spans="1:7" x14ac:dyDescent="0.2">
      <c r="A2035" s="16" t="s">
        <v>366</v>
      </c>
      <c r="B2035" s="33"/>
      <c r="C2035" s="34"/>
      <c r="D2035" s="17"/>
      <c r="E2035" s="257"/>
      <c r="F2035" s="164"/>
    </row>
    <row r="2036" spans="1:7" ht="25.5" x14ac:dyDescent="0.2">
      <c r="A2036" s="90" t="s">
        <v>367</v>
      </c>
      <c r="B2036" s="91"/>
      <c r="C2036" s="92"/>
      <c r="D2036" s="91" t="s">
        <v>233</v>
      </c>
      <c r="E2036" s="264" t="s">
        <v>80</v>
      </c>
      <c r="F2036" s="170"/>
    </row>
    <row r="2037" spans="1:7" ht="15" thickBot="1" x14ac:dyDescent="0.25">
      <c r="A2037" s="20"/>
      <c r="B2037" s="37"/>
      <c r="C2037" s="38"/>
      <c r="D2037" s="21"/>
      <c r="E2037" s="259"/>
      <c r="F2037" s="166"/>
    </row>
    <row r="2038" spans="1:7" ht="15" thickBot="1" x14ac:dyDescent="0.25">
      <c r="A2038" s="22" t="s">
        <v>234</v>
      </c>
      <c r="B2038" s="41" t="s">
        <v>235</v>
      </c>
      <c r="C2038" s="42" t="s">
        <v>236</v>
      </c>
      <c r="D2038" s="23" t="s">
        <v>237</v>
      </c>
      <c r="E2038" s="260" t="s">
        <v>67</v>
      </c>
      <c r="F2038" s="167" t="s">
        <v>238</v>
      </c>
    </row>
    <row r="2039" spans="1:7" ht="15.75" thickTop="1" x14ac:dyDescent="0.25">
      <c r="A2039" s="24" t="s">
        <v>239</v>
      </c>
      <c r="B2039" s="44"/>
      <c r="C2039" s="45"/>
      <c r="D2039" s="25"/>
      <c r="E2039" s="261"/>
      <c r="F2039" s="168"/>
    </row>
    <row r="2040" spans="1:7" ht="28.5" x14ac:dyDescent="0.2">
      <c r="A2040" s="27" t="s">
        <v>299</v>
      </c>
      <c r="B2040" s="44">
        <v>46200</v>
      </c>
      <c r="C2040" s="45">
        <v>0.03</v>
      </c>
      <c r="D2040" s="25" t="s">
        <v>82</v>
      </c>
      <c r="E2040" s="261">
        <v>0.05</v>
      </c>
      <c r="F2040" s="168">
        <f>+B2040*C2040*(1+E2040)</f>
        <v>1455.3</v>
      </c>
    </row>
    <row r="2041" spans="1:7" ht="15" thickBot="1" x14ac:dyDescent="0.25">
      <c r="A2041" s="20"/>
      <c r="B2041" s="39"/>
      <c r="C2041" s="38"/>
      <c r="D2041" s="21"/>
      <c r="E2041" s="259"/>
      <c r="F2041" s="166"/>
      <c r="G2041" s="15">
        <f>SUM(F2040:F2040)</f>
        <v>1455.3</v>
      </c>
    </row>
    <row r="2042" spans="1:7" ht="15" x14ac:dyDescent="0.25">
      <c r="A2042" s="28" t="s">
        <v>240</v>
      </c>
      <c r="B2042" s="49"/>
      <c r="C2042" s="50"/>
      <c r="D2042" s="29"/>
      <c r="E2042" s="262"/>
      <c r="F2042" s="164"/>
    </row>
    <row r="2043" spans="1:7" x14ac:dyDescent="0.2">
      <c r="A2043" s="27" t="s">
        <v>158</v>
      </c>
      <c r="B2043" s="83">
        <v>104.26500000000001</v>
      </c>
      <c r="C2043" s="45">
        <v>1</v>
      </c>
      <c r="D2043" s="25" t="s">
        <v>90</v>
      </c>
      <c r="E2043" s="261">
        <v>0</v>
      </c>
      <c r="F2043" s="168">
        <f>+B2043*C2043*(1+E2043)</f>
        <v>104.26500000000001</v>
      </c>
    </row>
    <row r="2044" spans="1:7" ht="15" thickBot="1" x14ac:dyDescent="0.25">
      <c r="A2044" s="20"/>
      <c r="B2044" s="39"/>
      <c r="C2044" s="38"/>
      <c r="D2044" s="21"/>
      <c r="E2044" s="259"/>
      <c r="F2044" s="166"/>
    </row>
    <row r="2045" spans="1:7" ht="15" x14ac:dyDescent="0.25">
      <c r="A2045" s="28" t="s">
        <v>116</v>
      </c>
      <c r="B2045" s="49"/>
      <c r="C2045" s="50"/>
      <c r="D2045" s="29"/>
      <c r="E2045" s="262"/>
      <c r="F2045" s="164"/>
    </row>
    <row r="2046" spans="1:7" x14ac:dyDescent="0.2">
      <c r="A2046" s="27" t="s">
        <v>92</v>
      </c>
      <c r="B2046" s="83">
        <v>62.559000000000005</v>
      </c>
      <c r="C2046" s="45">
        <v>1</v>
      </c>
      <c r="D2046" s="25" t="s">
        <v>82</v>
      </c>
      <c r="E2046" s="261">
        <v>0</v>
      </c>
      <c r="F2046" s="168">
        <f>+B2046*C2046*(1+E2046)</f>
        <v>62.559000000000005</v>
      </c>
    </row>
    <row r="2047" spans="1:7" ht="15" thickBot="1" x14ac:dyDescent="0.25">
      <c r="A2047" s="20"/>
      <c r="B2047" s="39"/>
      <c r="C2047" s="38"/>
      <c r="D2047" s="21"/>
      <c r="E2047" s="259"/>
      <c r="F2047" s="166"/>
    </row>
    <row r="2048" spans="1:7" ht="15" x14ac:dyDescent="0.25">
      <c r="A2048" s="24" t="s">
        <v>70</v>
      </c>
      <c r="B2048" s="44"/>
      <c r="C2048" s="45"/>
      <c r="D2048" s="25"/>
      <c r="E2048" s="261"/>
      <c r="F2048" s="168"/>
    </row>
    <row r="2049" spans="1:6" x14ac:dyDescent="0.2">
      <c r="A2049" s="27" t="s">
        <v>70</v>
      </c>
      <c r="B2049" s="44">
        <v>9198.3962499999998</v>
      </c>
      <c r="C2049" s="45">
        <v>0.2</v>
      </c>
      <c r="D2049" s="25" t="s">
        <v>81</v>
      </c>
      <c r="E2049" s="261">
        <v>0</v>
      </c>
      <c r="F2049" s="168">
        <f>+B2049*C2049*(1+E2049)</f>
        <v>1839.6792500000001</v>
      </c>
    </row>
    <row r="2050" spans="1:6" ht="15" thickBot="1" x14ac:dyDescent="0.25">
      <c r="A2050" s="27"/>
      <c r="B2050" s="44"/>
      <c r="C2050" s="45"/>
      <c r="D2050" s="25"/>
      <c r="E2050" s="261"/>
      <c r="F2050" s="168"/>
    </row>
    <row r="2051" spans="1:6" ht="15.75" thickBot="1" x14ac:dyDescent="0.3">
      <c r="A2051" s="30"/>
      <c r="B2051" s="52"/>
      <c r="C2051" s="53"/>
      <c r="D2051" s="31"/>
      <c r="E2051" s="263" t="s">
        <v>241</v>
      </c>
      <c r="F2051" s="169">
        <f>SUM(F2040:F2049)</f>
        <v>3461.8032499999999</v>
      </c>
    </row>
    <row r="2054" spans="1:6" ht="15" thickBot="1" x14ac:dyDescent="0.25"/>
    <row r="2055" spans="1:6" x14ac:dyDescent="0.2">
      <c r="A2055" s="16" t="s">
        <v>365</v>
      </c>
      <c r="B2055" s="33"/>
      <c r="C2055" s="34"/>
      <c r="D2055" s="17"/>
      <c r="E2055" s="257"/>
      <c r="F2055" s="164"/>
    </row>
    <row r="2056" spans="1:6" ht="76.5" x14ac:dyDescent="0.2">
      <c r="A2056" s="90" t="s">
        <v>425</v>
      </c>
      <c r="B2056" s="91"/>
      <c r="C2056" s="92"/>
      <c r="D2056" s="91" t="s">
        <v>233</v>
      </c>
      <c r="E2056" s="264" t="s">
        <v>2</v>
      </c>
      <c r="F2056" s="170"/>
    </row>
    <row r="2057" spans="1:6" ht="15" thickBot="1" x14ac:dyDescent="0.25">
      <c r="A2057" s="20"/>
      <c r="B2057" s="37"/>
      <c r="C2057" s="38"/>
      <c r="D2057" s="21"/>
      <c r="E2057" s="259"/>
      <c r="F2057" s="166"/>
    </row>
    <row r="2058" spans="1:6" ht="15" thickBot="1" x14ac:dyDescent="0.25">
      <c r="A2058" s="22" t="s">
        <v>234</v>
      </c>
      <c r="B2058" s="41" t="s">
        <v>235</v>
      </c>
      <c r="C2058" s="42" t="s">
        <v>236</v>
      </c>
      <c r="D2058" s="23" t="s">
        <v>237</v>
      </c>
      <c r="E2058" s="260" t="s">
        <v>67</v>
      </c>
      <c r="F2058" s="167" t="s">
        <v>238</v>
      </c>
    </row>
    <row r="2059" spans="1:6" ht="15.75" thickTop="1" x14ac:dyDescent="0.25">
      <c r="A2059" s="24" t="s">
        <v>239</v>
      </c>
      <c r="B2059" s="44"/>
      <c r="C2059" s="45"/>
      <c r="D2059" s="25"/>
      <c r="E2059" s="261"/>
      <c r="F2059" s="168"/>
    </row>
    <row r="2060" spans="1:6" ht="42.75" x14ac:dyDescent="0.2">
      <c r="A2060" s="27" t="s">
        <v>301</v>
      </c>
      <c r="B2060" s="44">
        <f>2006043/2</f>
        <v>1003021.5</v>
      </c>
      <c r="C2060" s="45">
        <v>1</v>
      </c>
      <c r="D2060" s="25" t="s">
        <v>285</v>
      </c>
      <c r="E2060" s="261">
        <v>0</v>
      </c>
      <c r="F2060" s="168">
        <f t="shared" ref="F2060:F2068" si="29">+B2060*C2060*(1+E2060)</f>
        <v>1003021.5</v>
      </c>
    </row>
    <row r="2061" spans="1:6" x14ac:dyDescent="0.2">
      <c r="A2061" s="27" t="s">
        <v>302</v>
      </c>
      <c r="B2061" s="44">
        <v>88001</v>
      </c>
      <c r="C2061" s="45">
        <v>1</v>
      </c>
      <c r="D2061" s="25" t="s">
        <v>285</v>
      </c>
      <c r="E2061" s="261">
        <v>0</v>
      </c>
      <c r="F2061" s="168">
        <f t="shared" si="29"/>
        <v>88001</v>
      </c>
    </row>
    <row r="2062" spans="1:6" x14ac:dyDescent="0.2">
      <c r="A2062" s="27" t="s">
        <v>288</v>
      </c>
      <c r="B2062" s="44">
        <v>35014</v>
      </c>
      <c r="C2062" s="45">
        <v>1</v>
      </c>
      <c r="D2062" s="25" t="s">
        <v>289</v>
      </c>
      <c r="E2062" s="261">
        <v>0</v>
      </c>
      <c r="F2062" s="168">
        <f t="shared" si="29"/>
        <v>35014</v>
      </c>
    </row>
    <row r="2063" spans="1:6" x14ac:dyDescent="0.2">
      <c r="A2063" s="27" t="s">
        <v>303</v>
      </c>
      <c r="B2063" s="44">
        <v>54711</v>
      </c>
      <c r="C2063" s="45">
        <v>1</v>
      </c>
      <c r="D2063" s="25" t="s">
        <v>289</v>
      </c>
      <c r="E2063" s="261">
        <v>0</v>
      </c>
      <c r="F2063" s="168">
        <f t="shared" si="29"/>
        <v>54711</v>
      </c>
    </row>
    <row r="2064" spans="1:6" x14ac:dyDescent="0.2">
      <c r="A2064" s="27" t="s">
        <v>304</v>
      </c>
      <c r="B2064" s="44">
        <v>16085</v>
      </c>
      <c r="C2064" s="45">
        <v>1.5</v>
      </c>
      <c r="D2064" s="25" t="s">
        <v>289</v>
      </c>
      <c r="E2064" s="261">
        <v>0</v>
      </c>
      <c r="F2064" s="168">
        <f t="shared" si="29"/>
        <v>24127.5</v>
      </c>
    </row>
    <row r="2065" spans="1:7" x14ac:dyDescent="0.2">
      <c r="A2065" s="27" t="s">
        <v>305</v>
      </c>
      <c r="B2065" s="44">
        <v>1323</v>
      </c>
      <c r="C2065" s="45">
        <v>5</v>
      </c>
      <c r="D2065" s="25" t="s">
        <v>285</v>
      </c>
      <c r="E2065" s="261">
        <v>0</v>
      </c>
      <c r="F2065" s="168">
        <f t="shared" si="29"/>
        <v>6615</v>
      </c>
    </row>
    <row r="2066" spans="1:7" ht="28.5" x14ac:dyDescent="0.2">
      <c r="A2066" s="27" t="s">
        <v>306</v>
      </c>
      <c r="B2066" s="44">
        <v>653486</v>
      </c>
      <c r="C2066" s="45">
        <v>1</v>
      </c>
      <c r="D2066" s="25" t="s">
        <v>300</v>
      </c>
      <c r="E2066" s="261">
        <v>0</v>
      </c>
      <c r="F2066" s="168">
        <f t="shared" si="29"/>
        <v>653486</v>
      </c>
    </row>
    <row r="2067" spans="1:7" x14ac:dyDescent="0.2">
      <c r="A2067" s="27" t="s">
        <v>307</v>
      </c>
      <c r="B2067" s="44">
        <v>3217</v>
      </c>
      <c r="C2067" s="45">
        <v>3.5</v>
      </c>
      <c r="D2067" s="25" t="s">
        <v>308</v>
      </c>
      <c r="E2067" s="261">
        <v>0</v>
      </c>
      <c r="F2067" s="168">
        <f t="shared" si="29"/>
        <v>11259.5</v>
      </c>
    </row>
    <row r="2068" spans="1:7" ht="28.5" x14ac:dyDescent="0.2">
      <c r="A2068" s="27" t="s">
        <v>309</v>
      </c>
      <c r="B2068" s="44">
        <v>53069</v>
      </c>
      <c r="C2068" s="45">
        <v>1</v>
      </c>
      <c r="D2068" s="25" t="s">
        <v>285</v>
      </c>
      <c r="E2068" s="261">
        <v>0</v>
      </c>
      <c r="F2068" s="168">
        <f t="shared" si="29"/>
        <v>53069</v>
      </c>
    </row>
    <row r="2069" spans="1:7" ht="15" thickBot="1" x14ac:dyDescent="0.25">
      <c r="A2069" s="20"/>
      <c r="B2069" s="39"/>
      <c r="C2069" s="38"/>
      <c r="D2069" s="21"/>
      <c r="E2069" s="259"/>
      <c r="F2069" s="166"/>
      <c r="G2069" s="15">
        <f>SUM(F2060:F2068)</f>
        <v>1929304.5</v>
      </c>
    </row>
    <row r="2070" spans="1:7" ht="15" x14ac:dyDescent="0.25">
      <c r="A2070" s="28" t="s">
        <v>240</v>
      </c>
      <c r="B2070" s="49"/>
      <c r="C2070" s="50"/>
      <c r="D2070" s="29"/>
      <c r="E2070" s="262"/>
      <c r="F2070" s="164"/>
    </row>
    <row r="2071" spans="1:7" x14ac:dyDescent="0.2">
      <c r="A2071" s="27" t="s">
        <v>158</v>
      </c>
      <c r="B2071" s="83">
        <v>136465.22500000001</v>
      </c>
      <c r="C2071" s="45">
        <v>1</v>
      </c>
      <c r="D2071" s="25" t="s">
        <v>101</v>
      </c>
      <c r="E2071" s="261">
        <v>0</v>
      </c>
      <c r="F2071" s="168">
        <f>+B2071*C2071*(1+E2071)</f>
        <v>136465.22500000001</v>
      </c>
    </row>
    <row r="2072" spans="1:7" ht="15" thickBot="1" x14ac:dyDescent="0.25">
      <c r="A2072" s="20"/>
      <c r="B2072" s="39"/>
      <c r="C2072" s="38"/>
      <c r="D2072" s="21"/>
      <c r="E2072" s="259"/>
      <c r="F2072" s="166"/>
    </row>
    <row r="2073" spans="1:7" ht="15" x14ac:dyDescent="0.25">
      <c r="A2073" s="28" t="s">
        <v>116</v>
      </c>
      <c r="B2073" s="49"/>
      <c r="C2073" s="50"/>
      <c r="D2073" s="29"/>
      <c r="E2073" s="262"/>
      <c r="F2073" s="164"/>
    </row>
    <row r="2074" spans="1:7" x14ac:dyDescent="0.2">
      <c r="A2074" s="27" t="s">
        <v>92</v>
      </c>
      <c r="B2074" s="83">
        <v>81879.134999999995</v>
      </c>
      <c r="C2074" s="45">
        <v>1</v>
      </c>
      <c r="D2074" s="25" t="s">
        <v>85</v>
      </c>
      <c r="E2074" s="261">
        <v>0</v>
      </c>
      <c r="F2074" s="168">
        <f>+B2074*C2074*(1+E2074)</f>
        <v>81879.134999999995</v>
      </c>
    </row>
    <row r="2075" spans="1:7" ht="15" thickBot="1" x14ac:dyDescent="0.25">
      <c r="A2075" s="20"/>
      <c r="B2075" s="39"/>
      <c r="C2075" s="38"/>
      <c r="D2075" s="21"/>
      <c r="E2075" s="259"/>
      <c r="F2075" s="166"/>
    </row>
    <row r="2076" spans="1:7" ht="15" x14ac:dyDescent="0.25">
      <c r="A2076" s="24" t="s">
        <v>70</v>
      </c>
      <c r="B2076" s="44"/>
      <c r="C2076" s="45"/>
      <c r="D2076" s="25"/>
      <c r="E2076" s="261"/>
      <c r="F2076" s="168"/>
    </row>
    <row r="2077" spans="1:7" x14ac:dyDescent="0.2">
      <c r="A2077" s="27" t="s">
        <v>70</v>
      </c>
      <c r="B2077" s="44">
        <v>9198.3962499999998</v>
      </c>
      <c r="C2077" s="45">
        <v>11</v>
      </c>
      <c r="D2077" s="25" t="s">
        <v>213</v>
      </c>
      <c r="E2077" s="261">
        <v>0</v>
      </c>
      <c r="F2077" s="168">
        <f>+B2077*C2077*(1+E2077)</f>
        <v>101182.35875</v>
      </c>
    </row>
    <row r="2078" spans="1:7" ht="15" thickBot="1" x14ac:dyDescent="0.25">
      <c r="A2078" s="27"/>
      <c r="B2078" s="44"/>
      <c r="C2078" s="45"/>
      <c r="D2078" s="25"/>
      <c r="E2078" s="261"/>
      <c r="F2078" s="168"/>
    </row>
    <row r="2079" spans="1:7" ht="15.75" thickBot="1" x14ac:dyDescent="0.3">
      <c r="A2079" s="30"/>
      <c r="B2079" s="52"/>
      <c r="C2079" s="53"/>
      <c r="D2079" s="31"/>
      <c r="E2079" s="263" t="s">
        <v>241</v>
      </c>
      <c r="F2079" s="169">
        <f>SUM(F2060:F2077)</f>
        <v>2248831.21875</v>
      </c>
    </row>
    <row r="2081" spans="1:6" ht="15" thickBot="1" x14ac:dyDescent="0.25"/>
    <row r="2082" spans="1:6" x14ac:dyDescent="0.2">
      <c r="A2082" s="16" t="s">
        <v>31</v>
      </c>
      <c r="B2082" s="33"/>
      <c r="C2082" s="34"/>
      <c r="D2082" s="17"/>
      <c r="E2082" s="257"/>
      <c r="F2082" s="164"/>
    </row>
    <row r="2083" spans="1:6" x14ac:dyDescent="0.2">
      <c r="A2083" s="90" t="s">
        <v>368</v>
      </c>
      <c r="B2083" s="91"/>
      <c r="C2083" s="92"/>
      <c r="D2083" s="91" t="s">
        <v>233</v>
      </c>
      <c r="E2083" s="264" t="s">
        <v>75</v>
      </c>
      <c r="F2083" s="170"/>
    </row>
    <row r="2084" spans="1:6" ht="15" thickBot="1" x14ac:dyDescent="0.25">
      <c r="A2084" s="20"/>
      <c r="B2084" s="37"/>
      <c r="C2084" s="38"/>
      <c r="D2084" s="21"/>
      <c r="E2084" s="259"/>
      <c r="F2084" s="166"/>
    </row>
    <row r="2085" spans="1:6" ht="15" thickBot="1" x14ac:dyDescent="0.25">
      <c r="A2085" s="22" t="s">
        <v>234</v>
      </c>
      <c r="B2085" s="41" t="s">
        <v>235</v>
      </c>
      <c r="C2085" s="42" t="s">
        <v>236</v>
      </c>
      <c r="D2085" s="23" t="s">
        <v>237</v>
      </c>
      <c r="E2085" s="260" t="s">
        <v>67</v>
      </c>
      <c r="F2085" s="167" t="s">
        <v>238</v>
      </c>
    </row>
    <row r="2086" spans="1:6" ht="15.75" thickTop="1" x14ac:dyDescent="0.25">
      <c r="A2086" s="24" t="s">
        <v>239</v>
      </c>
      <c r="B2086" s="44"/>
      <c r="C2086" s="45"/>
      <c r="D2086" s="25"/>
      <c r="E2086" s="261"/>
      <c r="F2086" s="168"/>
    </row>
    <row r="2087" spans="1:6" ht="15" thickBot="1" x14ac:dyDescent="0.25">
      <c r="A2087" s="20"/>
      <c r="B2087" s="39"/>
      <c r="C2087" s="38"/>
      <c r="D2087" s="21"/>
      <c r="E2087" s="259"/>
      <c r="F2087" s="166"/>
    </row>
    <row r="2088" spans="1:6" ht="15" x14ac:dyDescent="0.25">
      <c r="A2088" s="28" t="s">
        <v>240</v>
      </c>
      <c r="B2088" s="49"/>
      <c r="C2088" s="50"/>
      <c r="D2088" s="29"/>
      <c r="E2088" s="262"/>
      <c r="F2088" s="164"/>
    </row>
    <row r="2089" spans="1:6" x14ac:dyDescent="0.2">
      <c r="A2089" s="27" t="s">
        <v>158</v>
      </c>
      <c r="B2089" s="83">
        <v>1378</v>
      </c>
      <c r="C2089" s="45">
        <v>0.1</v>
      </c>
      <c r="D2089" s="25" t="s">
        <v>310</v>
      </c>
      <c r="E2089" s="261">
        <v>0</v>
      </c>
      <c r="F2089" s="168">
        <f>+B2089*C2089*(1+E2089)</f>
        <v>137.80000000000001</v>
      </c>
    </row>
    <row r="2090" spans="1:6" x14ac:dyDescent="0.2">
      <c r="A2090" s="27" t="s">
        <v>311</v>
      </c>
      <c r="B2090" s="83">
        <v>1185</v>
      </c>
      <c r="C2090" s="45">
        <v>0.2</v>
      </c>
      <c r="D2090" s="25" t="s">
        <v>310</v>
      </c>
      <c r="E2090" s="261">
        <v>0</v>
      </c>
      <c r="F2090" s="168">
        <f>+B2090*C2090*(1+E2090)</f>
        <v>237</v>
      </c>
    </row>
    <row r="2091" spans="1:6" ht="15" thickBot="1" x14ac:dyDescent="0.25">
      <c r="A2091" s="20"/>
      <c r="B2091" s="39"/>
      <c r="C2091" s="38"/>
      <c r="D2091" s="21"/>
      <c r="E2091" s="259"/>
      <c r="F2091" s="166"/>
    </row>
    <row r="2092" spans="1:6" ht="15" x14ac:dyDescent="0.25">
      <c r="A2092" s="28" t="s">
        <v>116</v>
      </c>
      <c r="B2092" s="49"/>
      <c r="C2092" s="50"/>
      <c r="D2092" s="29"/>
      <c r="E2092" s="262"/>
      <c r="F2092" s="164"/>
    </row>
    <row r="2093" spans="1:6" ht="15" thickBot="1" x14ac:dyDescent="0.25">
      <c r="A2093" s="20"/>
      <c r="B2093" s="39"/>
      <c r="C2093" s="38"/>
      <c r="D2093" s="21"/>
      <c r="E2093" s="259"/>
      <c r="F2093" s="166"/>
    </row>
    <row r="2094" spans="1:6" ht="15" x14ac:dyDescent="0.25">
      <c r="A2094" s="24" t="s">
        <v>70</v>
      </c>
      <c r="B2094" s="44"/>
      <c r="C2094" s="45"/>
      <c r="D2094" s="25"/>
      <c r="E2094" s="261"/>
      <c r="F2094" s="168"/>
    </row>
    <row r="2095" spans="1:6" x14ac:dyDescent="0.2">
      <c r="A2095" s="27" t="s">
        <v>70</v>
      </c>
      <c r="B2095" s="44">
        <v>6003</v>
      </c>
      <c r="C2095" s="45">
        <v>0.1</v>
      </c>
      <c r="D2095" s="25" t="s">
        <v>213</v>
      </c>
      <c r="E2095" s="261">
        <v>0</v>
      </c>
      <c r="F2095" s="168">
        <f>+B2095*C2095*(1+E2095)</f>
        <v>600.30000000000007</v>
      </c>
    </row>
    <row r="2096" spans="1:6" ht="15" thickBot="1" x14ac:dyDescent="0.25">
      <c r="A2096" s="27"/>
      <c r="B2096" s="44"/>
      <c r="C2096" s="45"/>
      <c r="D2096" s="25"/>
      <c r="E2096" s="261"/>
      <c r="F2096" s="168"/>
    </row>
    <row r="2097" spans="1:6" ht="15.75" thickBot="1" x14ac:dyDescent="0.3">
      <c r="A2097" s="30"/>
      <c r="B2097" s="52"/>
      <c r="C2097" s="53"/>
      <c r="D2097" s="31"/>
      <c r="E2097" s="263" t="s">
        <v>241</v>
      </c>
      <c r="F2097" s="169">
        <f>SUM(F2087:F2095)</f>
        <v>975.10000000000014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1"/>
  <sheetViews>
    <sheetView view="pageBreakPreview" zoomScale="60" zoomScaleNormal="100" workbookViewId="0">
      <selection activeCell="B1" sqref="B1:D1"/>
    </sheetView>
  </sheetViews>
  <sheetFormatPr baseColWidth="10" defaultRowHeight="14.25" x14ac:dyDescent="0.2"/>
  <cols>
    <col min="1" max="1" width="7.42578125" style="15" customWidth="1"/>
    <col min="2" max="2" width="49.42578125" style="14" customWidth="1"/>
    <col min="3" max="3" width="11.42578125" style="15"/>
    <col min="4" max="4" width="15.28515625" style="163" customWidth="1"/>
    <col min="5" max="16384" width="11.42578125" style="15"/>
  </cols>
  <sheetData>
    <row r="1" spans="2:4" ht="15" x14ac:dyDescent="0.25">
      <c r="B1" s="588" t="s">
        <v>936</v>
      </c>
      <c r="C1" s="561"/>
      <c r="D1" s="562"/>
    </row>
    <row r="2" spans="2:4" ht="15" x14ac:dyDescent="0.25">
      <c r="B2" s="589" t="s">
        <v>791</v>
      </c>
      <c r="C2" s="563"/>
      <c r="D2" s="564"/>
    </row>
    <row r="3" spans="2:4" ht="15" x14ac:dyDescent="0.25">
      <c r="B3" s="589" t="s">
        <v>939</v>
      </c>
      <c r="C3" s="563"/>
      <c r="D3" s="564"/>
    </row>
    <row r="4" spans="2:4" ht="15" thickBot="1" x14ac:dyDescent="0.25">
      <c r="B4" s="596"/>
      <c r="C4" s="597"/>
      <c r="D4" s="598"/>
    </row>
    <row r="5" spans="2:4" ht="36" customHeight="1" x14ac:dyDescent="0.3">
      <c r="B5" s="593" t="s">
        <v>318</v>
      </c>
      <c r="C5" s="594"/>
      <c r="D5" s="595"/>
    </row>
    <row r="6" spans="2:4" s="14" customFormat="1" ht="30" customHeight="1" x14ac:dyDescent="0.2">
      <c r="B6" s="159" t="s">
        <v>319</v>
      </c>
      <c r="C6" s="89" t="s">
        <v>237</v>
      </c>
      <c r="D6" s="178" t="s">
        <v>320</v>
      </c>
    </row>
    <row r="7" spans="2:4" s="14" customFormat="1" x14ac:dyDescent="0.2">
      <c r="B7" s="331" t="s">
        <v>796</v>
      </c>
      <c r="C7" s="332" t="s">
        <v>101</v>
      </c>
      <c r="D7" s="333">
        <v>1700000</v>
      </c>
    </row>
    <row r="8" spans="2:4" s="14" customFormat="1" x14ac:dyDescent="0.2">
      <c r="B8" s="331" t="s">
        <v>797</v>
      </c>
      <c r="C8" s="332" t="s">
        <v>138</v>
      </c>
      <c r="D8" s="333">
        <v>12000</v>
      </c>
    </row>
    <row r="9" spans="2:4" s="14" customFormat="1" x14ac:dyDescent="0.2">
      <c r="B9" s="331" t="s">
        <v>798</v>
      </c>
      <c r="C9" s="332" t="s">
        <v>101</v>
      </c>
      <c r="D9" s="333">
        <v>5000</v>
      </c>
    </row>
    <row r="10" spans="2:4" s="14" customFormat="1" x14ac:dyDescent="0.2">
      <c r="B10" s="331" t="s">
        <v>799</v>
      </c>
      <c r="C10" s="332" t="s">
        <v>101</v>
      </c>
      <c r="D10" s="333">
        <v>56400</v>
      </c>
    </row>
    <row r="11" spans="2:4" s="14" customFormat="1" x14ac:dyDescent="0.2">
      <c r="B11" s="331" t="s">
        <v>800</v>
      </c>
      <c r="C11" s="332" t="s">
        <v>803</v>
      </c>
      <c r="D11" s="333">
        <v>1500</v>
      </c>
    </row>
    <row r="12" spans="2:4" s="14" customFormat="1" x14ac:dyDescent="0.2">
      <c r="B12" s="331" t="s">
        <v>801</v>
      </c>
      <c r="C12" s="332" t="s">
        <v>804</v>
      </c>
      <c r="D12" s="333">
        <v>26000</v>
      </c>
    </row>
    <row r="13" spans="2:4" s="14" customFormat="1" x14ac:dyDescent="0.2">
      <c r="B13" s="331" t="s">
        <v>802</v>
      </c>
      <c r="C13" s="332" t="s">
        <v>803</v>
      </c>
      <c r="D13" s="333">
        <v>2500</v>
      </c>
    </row>
    <row r="14" spans="2:4" s="14" customFormat="1" x14ac:dyDescent="0.2">
      <c r="B14" s="331" t="s">
        <v>805</v>
      </c>
      <c r="C14" s="332" t="s">
        <v>101</v>
      </c>
      <c r="D14" s="333">
        <v>45000</v>
      </c>
    </row>
    <row r="15" spans="2:4" s="14" customFormat="1" x14ac:dyDescent="0.2">
      <c r="B15" s="331" t="s">
        <v>806</v>
      </c>
      <c r="C15" s="332" t="s">
        <v>101</v>
      </c>
      <c r="D15" s="333">
        <v>378</v>
      </c>
    </row>
    <row r="16" spans="2:4" s="14" customFormat="1" x14ac:dyDescent="0.2">
      <c r="B16" s="331" t="s">
        <v>807</v>
      </c>
      <c r="C16" s="332" t="s">
        <v>101</v>
      </c>
      <c r="D16" s="333">
        <v>378</v>
      </c>
    </row>
    <row r="17" spans="2:4" s="14" customFormat="1" x14ac:dyDescent="0.2">
      <c r="B17" s="331" t="s">
        <v>808</v>
      </c>
      <c r="C17" s="332" t="s">
        <v>101</v>
      </c>
      <c r="D17" s="333">
        <v>145000</v>
      </c>
    </row>
    <row r="18" spans="2:4" s="14" customFormat="1" x14ac:dyDescent="0.2">
      <c r="B18" s="331" t="s">
        <v>809</v>
      </c>
      <c r="C18" s="332" t="s">
        <v>101</v>
      </c>
      <c r="D18" s="333">
        <v>8000</v>
      </c>
    </row>
    <row r="19" spans="2:4" s="14" customFormat="1" x14ac:dyDescent="0.2">
      <c r="B19" s="331" t="s">
        <v>810</v>
      </c>
      <c r="C19" s="332" t="s">
        <v>101</v>
      </c>
      <c r="D19" s="333">
        <v>18000</v>
      </c>
    </row>
    <row r="20" spans="2:4" s="14" customFormat="1" x14ac:dyDescent="0.2">
      <c r="B20" s="331" t="s">
        <v>811</v>
      </c>
      <c r="C20" s="332" t="s">
        <v>101</v>
      </c>
      <c r="D20" s="333">
        <v>11000</v>
      </c>
    </row>
    <row r="21" spans="2:4" s="14" customFormat="1" x14ac:dyDescent="0.2">
      <c r="B21" s="331" t="s">
        <v>812</v>
      </c>
      <c r="C21" s="332" t="s">
        <v>101</v>
      </c>
      <c r="D21" s="333">
        <v>5593</v>
      </c>
    </row>
    <row r="22" spans="2:4" s="14" customFormat="1" x14ac:dyDescent="0.2">
      <c r="B22" s="331" t="s">
        <v>813</v>
      </c>
      <c r="C22" s="332" t="s">
        <v>101</v>
      </c>
      <c r="D22" s="333">
        <v>3633</v>
      </c>
    </row>
    <row r="23" spans="2:4" s="14" customFormat="1" x14ac:dyDescent="0.2">
      <c r="B23" s="331" t="s">
        <v>814</v>
      </c>
      <c r="C23" s="332" t="s">
        <v>101</v>
      </c>
      <c r="D23" s="333">
        <v>6000</v>
      </c>
    </row>
    <row r="24" spans="2:4" s="14" customFormat="1" x14ac:dyDescent="0.2">
      <c r="B24" s="331" t="s">
        <v>815</v>
      </c>
      <c r="C24" s="332" t="s">
        <v>101</v>
      </c>
      <c r="D24" s="333">
        <v>18000</v>
      </c>
    </row>
    <row r="25" spans="2:4" s="14" customFormat="1" x14ac:dyDescent="0.2">
      <c r="B25" s="331" t="s">
        <v>816</v>
      </c>
      <c r="C25" s="332" t="s">
        <v>82</v>
      </c>
      <c r="D25" s="333">
        <v>2900</v>
      </c>
    </row>
    <row r="26" spans="2:4" s="14" customFormat="1" x14ac:dyDescent="0.2">
      <c r="B26" s="331" t="s">
        <v>817</v>
      </c>
      <c r="C26" s="332" t="s">
        <v>101</v>
      </c>
      <c r="D26" s="333">
        <v>182379</v>
      </c>
    </row>
    <row r="27" spans="2:4" s="14" customFormat="1" x14ac:dyDescent="0.2">
      <c r="B27" s="331" t="s">
        <v>818</v>
      </c>
      <c r="C27" s="332" t="s">
        <v>101</v>
      </c>
      <c r="D27" s="333">
        <v>8000</v>
      </c>
    </row>
    <row r="28" spans="2:4" s="14" customFormat="1" x14ac:dyDescent="0.2">
      <c r="B28" s="331" t="s">
        <v>819</v>
      </c>
      <c r="C28" s="332" t="s">
        <v>101</v>
      </c>
      <c r="D28" s="333">
        <v>9000</v>
      </c>
    </row>
    <row r="29" spans="2:4" s="14" customFormat="1" x14ac:dyDescent="0.2">
      <c r="B29" s="331" t="s">
        <v>820</v>
      </c>
      <c r="C29" s="332" t="s">
        <v>101</v>
      </c>
      <c r="D29" s="333">
        <v>115000</v>
      </c>
    </row>
    <row r="30" spans="2:4" s="14" customFormat="1" x14ac:dyDescent="0.2">
      <c r="B30" s="331" t="s">
        <v>821</v>
      </c>
      <c r="C30" s="332" t="s">
        <v>101</v>
      </c>
      <c r="D30" s="333">
        <v>35000</v>
      </c>
    </row>
    <row r="31" spans="2:4" s="14" customFormat="1" x14ac:dyDescent="0.2">
      <c r="B31" s="331" t="s">
        <v>822</v>
      </c>
      <c r="C31" s="332" t="s">
        <v>101</v>
      </c>
      <c r="D31" s="333">
        <v>2950000</v>
      </c>
    </row>
    <row r="32" spans="2:4" s="14" customFormat="1" x14ac:dyDescent="0.2">
      <c r="B32" s="331" t="s">
        <v>823</v>
      </c>
      <c r="C32" s="332" t="s">
        <v>90</v>
      </c>
      <c r="D32" s="333">
        <v>9000</v>
      </c>
    </row>
    <row r="33" spans="2:4" s="14" customFormat="1" x14ac:dyDescent="0.2">
      <c r="B33" s="331" t="s">
        <v>824</v>
      </c>
      <c r="C33" s="332" t="s">
        <v>82</v>
      </c>
      <c r="D33" s="333">
        <v>4581</v>
      </c>
    </row>
    <row r="34" spans="2:4" s="14" customFormat="1" x14ac:dyDescent="0.2">
      <c r="B34" s="331" t="s">
        <v>825</v>
      </c>
      <c r="C34" s="332" t="s">
        <v>90</v>
      </c>
      <c r="D34" s="333">
        <v>1500</v>
      </c>
    </row>
    <row r="35" spans="2:4" s="14" customFormat="1" x14ac:dyDescent="0.2">
      <c r="B35" s="331" t="s">
        <v>826</v>
      </c>
      <c r="C35" s="332" t="s">
        <v>82</v>
      </c>
      <c r="D35" s="333">
        <v>1000</v>
      </c>
    </row>
    <row r="36" spans="2:4" s="14" customFormat="1" x14ac:dyDescent="0.2">
      <c r="B36" s="331" t="s">
        <v>827</v>
      </c>
      <c r="C36" s="332" t="s">
        <v>82</v>
      </c>
      <c r="D36" s="333">
        <v>15000</v>
      </c>
    </row>
    <row r="37" spans="2:4" s="14" customFormat="1" x14ac:dyDescent="0.2">
      <c r="B37" s="331" t="s">
        <v>828</v>
      </c>
      <c r="C37" s="332" t="s">
        <v>82</v>
      </c>
      <c r="D37" s="333">
        <v>17500</v>
      </c>
    </row>
    <row r="38" spans="2:4" s="14" customFormat="1" x14ac:dyDescent="0.2">
      <c r="B38" s="331" t="s">
        <v>829</v>
      </c>
      <c r="C38" s="332" t="s">
        <v>82</v>
      </c>
      <c r="D38" s="333">
        <v>12500</v>
      </c>
    </row>
    <row r="39" spans="2:4" s="14" customFormat="1" x14ac:dyDescent="0.2">
      <c r="B39" s="331" t="s">
        <v>830</v>
      </c>
      <c r="C39" s="332" t="s">
        <v>82</v>
      </c>
      <c r="D39" s="333">
        <v>9842</v>
      </c>
    </row>
    <row r="40" spans="2:4" s="14" customFormat="1" x14ac:dyDescent="0.2">
      <c r="B40" s="331" t="s">
        <v>831</v>
      </c>
      <c r="C40" s="332" t="s">
        <v>101</v>
      </c>
      <c r="D40" s="333">
        <v>300</v>
      </c>
    </row>
    <row r="41" spans="2:4" s="14" customFormat="1" x14ac:dyDescent="0.2">
      <c r="B41" s="331" t="s">
        <v>832</v>
      </c>
      <c r="C41" s="332" t="s">
        <v>101</v>
      </c>
      <c r="D41" s="333">
        <v>12000</v>
      </c>
    </row>
    <row r="42" spans="2:4" s="14" customFormat="1" x14ac:dyDescent="0.2">
      <c r="B42" s="331" t="s">
        <v>833</v>
      </c>
      <c r="C42" s="332" t="s">
        <v>101</v>
      </c>
      <c r="D42" s="333">
        <v>32000</v>
      </c>
    </row>
    <row r="43" spans="2:4" s="14" customFormat="1" x14ac:dyDescent="0.2">
      <c r="B43" s="331" t="s">
        <v>834</v>
      </c>
      <c r="C43" s="332" t="s">
        <v>101</v>
      </c>
      <c r="D43" s="333">
        <v>145000</v>
      </c>
    </row>
    <row r="44" spans="2:4" s="14" customFormat="1" x14ac:dyDescent="0.2">
      <c r="B44" s="331" t="s">
        <v>835</v>
      </c>
      <c r="C44" s="332" t="s">
        <v>138</v>
      </c>
      <c r="D44" s="333">
        <v>14137</v>
      </c>
    </row>
    <row r="45" spans="2:4" s="14" customFormat="1" ht="25.5" x14ac:dyDescent="0.2">
      <c r="B45" s="331" t="s">
        <v>836</v>
      </c>
      <c r="C45" s="332" t="s">
        <v>101</v>
      </c>
      <c r="D45" s="333">
        <v>240000</v>
      </c>
    </row>
    <row r="46" spans="2:4" s="14" customFormat="1" x14ac:dyDescent="0.2">
      <c r="B46" s="331" t="s">
        <v>837</v>
      </c>
      <c r="C46" s="332" t="s">
        <v>138</v>
      </c>
      <c r="D46" s="333">
        <v>3200</v>
      </c>
    </row>
    <row r="47" spans="2:4" s="14" customFormat="1" x14ac:dyDescent="0.2">
      <c r="B47" s="331" t="s">
        <v>838</v>
      </c>
      <c r="C47" s="332" t="s">
        <v>101</v>
      </c>
      <c r="D47" s="333">
        <v>18000</v>
      </c>
    </row>
    <row r="48" spans="2:4" s="14" customFormat="1" x14ac:dyDescent="0.2">
      <c r="B48" s="331" t="s">
        <v>799</v>
      </c>
      <c r="C48" s="332" t="s">
        <v>101</v>
      </c>
      <c r="D48" s="333">
        <v>56400</v>
      </c>
    </row>
    <row r="49" spans="2:4" s="14" customFormat="1" x14ac:dyDescent="0.2">
      <c r="B49" s="331" t="s">
        <v>839</v>
      </c>
      <c r="C49" s="332" t="s">
        <v>101</v>
      </c>
      <c r="D49" s="333">
        <v>746</v>
      </c>
    </row>
    <row r="50" spans="2:4" s="14" customFormat="1" x14ac:dyDescent="0.2">
      <c r="B50" s="331" t="s">
        <v>840</v>
      </c>
      <c r="C50" s="332" t="s">
        <v>138</v>
      </c>
      <c r="D50" s="333">
        <v>1500</v>
      </c>
    </row>
    <row r="51" spans="2:4" s="14" customFormat="1" x14ac:dyDescent="0.2">
      <c r="B51" s="331" t="s">
        <v>841</v>
      </c>
      <c r="C51" s="332" t="s">
        <v>138</v>
      </c>
      <c r="D51" s="333">
        <v>1200</v>
      </c>
    </row>
    <row r="52" spans="2:4" s="14" customFormat="1" x14ac:dyDescent="0.2">
      <c r="B52" s="331" t="s">
        <v>842</v>
      </c>
      <c r="C52" s="332" t="s">
        <v>138</v>
      </c>
      <c r="D52" s="333">
        <v>4500</v>
      </c>
    </row>
    <row r="53" spans="2:4" s="14" customFormat="1" x14ac:dyDescent="0.2">
      <c r="B53" s="331" t="s">
        <v>843</v>
      </c>
      <c r="C53" s="332" t="s">
        <v>101</v>
      </c>
      <c r="D53" s="333">
        <v>12500</v>
      </c>
    </row>
    <row r="54" spans="2:4" s="14" customFormat="1" x14ac:dyDescent="0.2">
      <c r="B54" s="331" t="s">
        <v>844</v>
      </c>
      <c r="C54" s="332" t="s">
        <v>101</v>
      </c>
      <c r="D54" s="333">
        <v>2500</v>
      </c>
    </row>
    <row r="55" spans="2:4" s="14" customFormat="1" x14ac:dyDescent="0.2">
      <c r="B55" s="331" t="s">
        <v>845</v>
      </c>
      <c r="C55" s="332" t="s">
        <v>101</v>
      </c>
      <c r="D55" s="333">
        <v>1150000</v>
      </c>
    </row>
    <row r="56" spans="2:4" s="14" customFormat="1" x14ac:dyDescent="0.2">
      <c r="B56" s="331" t="s">
        <v>846</v>
      </c>
      <c r="C56" s="332" t="s">
        <v>101</v>
      </c>
      <c r="D56" s="333">
        <v>8000</v>
      </c>
    </row>
    <row r="57" spans="2:4" s="14" customFormat="1" x14ac:dyDescent="0.2">
      <c r="B57" s="331" t="s">
        <v>847</v>
      </c>
      <c r="C57" s="332" t="s">
        <v>138</v>
      </c>
      <c r="D57" s="333">
        <v>3500</v>
      </c>
    </row>
    <row r="58" spans="2:4" s="14" customFormat="1" x14ac:dyDescent="0.2">
      <c r="B58" s="331" t="s">
        <v>848</v>
      </c>
      <c r="C58" s="332" t="s">
        <v>101</v>
      </c>
      <c r="D58" s="333">
        <v>650</v>
      </c>
    </row>
    <row r="59" spans="2:4" s="14" customFormat="1" x14ac:dyDescent="0.2">
      <c r="B59" s="331" t="s">
        <v>849</v>
      </c>
      <c r="C59" s="332" t="s">
        <v>850</v>
      </c>
      <c r="D59" s="333">
        <v>1200</v>
      </c>
    </row>
    <row r="60" spans="2:4" s="14" customFormat="1" x14ac:dyDescent="0.2">
      <c r="B60" s="331" t="s">
        <v>851</v>
      </c>
      <c r="C60" s="332" t="s">
        <v>101</v>
      </c>
      <c r="D60" s="333">
        <v>250</v>
      </c>
    </row>
    <row r="61" spans="2:4" s="14" customFormat="1" x14ac:dyDescent="0.2">
      <c r="B61" s="331" t="s">
        <v>852</v>
      </c>
      <c r="C61" s="332" t="s">
        <v>101</v>
      </c>
      <c r="D61" s="333">
        <v>1250</v>
      </c>
    </row>
    <row r="62" spans="2:4" s="14" customFormat="1" x14ac:dyDescent="0.2">
      <c r="B62" s="331" t="s">
        <v>853</v>
      </c>
      <c r="C62" s="332" t="s">
        <v>101</v>
      </c>
      <c r="D62" s="333">
        <v>493</v>
      </c>
    </row>
    <row r="63" spans="2:4" s="14" customFormat="1" x14ac:dyDescent="0.2">
      <c r="B63" s="331" t="s">
        <v>854</v>
      </c>
      <c r="C63" s="332" t="s">
        <v>101</v>
      </c>
      <c r="D63" s="333">
        <v>48000</v>
      </c>
    </row>
    <row r="64" spans="2:4" s="14" customFormat="1" x14ac:dyDescent="0.2">
      <c r="B64" s="331" t="s">
        <v>855</v>
      </c>
      <c r="C64" s="332" t="s">
        <v>138</v>
      </c>
      <c r="D64" s="333">
        <v>2300</v>
      </c>
    </row>
    <row r="65" spans="2:4" s="14" customFormat="1" x14ac:dyDescent="0.2">
      <c r="B65" s="331" t="s">
        <v>856</v>
      </c>
      <c r="C65" s="332" t="s">
        <v>101</v>
      </c>
      <c r="D65" s="333">
        <v>309</v>
      </c>
    </row>
    <row r="66" spans="2:4" s="14" customFormat="1" x14ac:dyDescent="0.2">
      <c r="B66" s="331" t="s">
        <v>857</v>
      </c>
      <c r="C66" s="332" t="s">
        <v>101</v>
      </c>
      <c r="D66" s="333">
        <v>45000</v>
      </c>
    </row>
    <row r="67" spans="2:4" s="14" customFormat="1" x14ac:dyDescent="0.2">
      <c r="B67" s="331" t="s">
        <v>858</v>
      </c>
      <c r="C67" s="332" t="s">
        <v>101</v>
      </c>
      <c r="D67" s="333">
        <v>7000</v>
      </c>
    </row>
    <row r="68" spans="2:4" s="14" customFormat="1" x14ac:dyDescent="0.2">
      <c r="B68" s="331" t="s">
        <v>859</v>
      </c>
      <c r="C68" s="332" t="s">
        <v>101</v>
      </c>
      <c r="D68" s="333">
        <v>1100</v>
      </c>
    </row>
    <row r="69" spans="2:4" s="14" customFormat="1" x14ac:dyDescent="0.2">
      <c r="B69" s="331" t="s">
        <v>846</v>
      </c>
      <c r="C69" s="332" t="s">
        <v>101</v>
      </c>
      <c r="D69" s="333">
        <v>8000</v>
      </c>
    </row>
    <row r="70" spans="2:4" s="14" customFormat="1" x14ac:dyDescent="0.2">
      <c r="B70" s="331" t="s">
        <v>860</v>
      </c>
      <c r="C70" s="332" t="s">
        <v>101</v>
      </c>
      <c r="D70" s="333">
        <v>8000</v>
      </c>
    </row>
    <row r="71" spans="2:4" ht="28.5" x14ac:dyDescent="0.2">
      <c r="B71" s="160" t="s">
        <v>179</v>
      </c>
      <c r="C71" s="88" t="s">
        <v>105</v>
      </c>
      <c r="D71" s="179">
        <v>17352.579999999998</v>
      </c>
    </row>
    <row r="72" spans="2:4" x14ac:dyDescent="0.2">
      <c r="B72" s="160" t="s">
        <v>183</v>
      </c>
      <c r="C72" s="88" t="s">
        <v>181</v>
      </c>
      <c r="D72" s="179">
        <v>30984.03</v>
      </c>
    </row>
    <row r="73" spans="2:4" x14ac:dyDescent="0.2">
      <c r="B73" s="160" t="s">
        <v>184</v>
      </c>
      <c r="C73" s="88" t="s">
        <v>181</v>
      </c>
      <c r="D73" s="179">
        <v>107267.79</v>
      </c>
    </row>
    <row r="74" spans="2:4" x14ac:dyDescent="0.2">
      <c r="B74" s="160" t="s">
        <v>186</v>
      </c>
      <c r="C74" s="88" t="s">
        <v>181</v>
      </c>
      <c r="D74" s="179">
        <v>116535</v>
      </c>
    </row>
    <row r="75" spans="2:4" x14ac:dyDescent="0.2">
      <c r="B75" s="160" t="s">
        <v>185</v>
      </c>
      <c r="C75" s="88" t="s">
        <v>181</v>
      </c>
      <c r="D75" s="179">
        <v>139841.66</v>
      </c>
    </row>
    <row r="76" spans="2:4" x14ac:dyDescent="0.2">
      <c r="B76" s="160" t="s">
        <v>187</v>
      </c>
      <c r="C76" s="88" t="s">
        <v>181</v>
      </c>
      <c r="D76" s="179">
        <v>156900</v>
      </c>
    </row>
    <row r="77" spans="2:4" x14ac:dyDescent="0.2">
      <c r="B77" s="160" t="s">
        <v>140</v>
      </c>
      <c r="C77" s="88" t="s">
        <v>101</v>
      </c>
      <c r="D77" s="179">
        <v>378.41999999999996</v>
      </c>
    </row>
    <row r="78" spans="2:4" x14ac:dyDescent="0.2">
      <c r="B78" s="160" t="s">
        <v>140</v>
      </c>
      <c r="C78" s="88" t="s">
        <v>101</v>
      </c>
      <c r="D78" s="179">
        <v>378.41999999999996</v>
      </c>
    </row>
    <row r="79" spans="2:4" x14ac:dyDescent="0.2">
      <c r="B79" s="160" t="s">
        <v>140</v>
      </c>
      <c r="C79" s="88" t="s">
        <v>101</v>
      </c>
      <c r="D79" s="179">
        <v>378.41999999999996</v>
      </c>
    </row>
    <row r="80" spans="2:4" x14ac:dyDescent="0.2">
      <c r="B80" s="160" t="s">
        <v>175</v>
      </c>
      <c r="C80" s="88" t="s">
        <v>176</v>
      </c>
      <c r="D80" s="179">
        <v>4785</v>
      </c>
    </row>
    <row r="81" spans="2:4" x14ac:dyDescent="0.2">
      <c r="B81" s="160" t="s">
        <v>298</v>
      </c>
      <c r="C81" s="88" t="s">
        <v>105</v>
      </c>
      <c r="D81" s="179">
        <v>3217</v>
      </c>
    </row>
    <row r="82" spans="2:4" x14ac:dyDescent="0.2">
      <c r="B82" s="160" t="s">
        <v>288</v>
      </c>
      <c r="C82" s="88" t="s">
        <v>289</v>
      </c>
      <c r="D82" s="179">
        <v>35014</v>
      </c>
    </row>
    <row r="83" spans="2:4" x14ac:dyDescent="0.2">
      <c r="B83" s="160" t="s">
        <v>288</v>
      </c>
      <c r="C83" s="88" t="s">
        <v>289</v>
      </c>
      <c r="D83" s="179">
        <v>35014</v>
      </c>
    </row>
    <row r="84" spans="2:4" x14ac:dyDescent="0.2">
      <c r="B84" s="160" t="s">
        <v>302</v>
      </c>
      <c r="C84" s="88" t="s">
        <v>285</v>
      </c>
      <c r="D84" s="179">
        <v>88001</v>
      </c>
    </row>
    <row r="85" spans="2:4" x14ac:dyDescent="0.2">
      <c r="B85" s="160" t="s">
        <v>378</v>
      </c>
      <c r="C85" s="88" t="s">
        <v>285</v>
      </c>
      <c r="D85" s="179">
        <v>143840</v>
      </c>
    </row>
    <row r="86" spans="2:4" x14ac:dyDescent="0.2">
      <c r="B86" s="160" t="s">
        <v>396</v>
      </c>
      <c r="C86" s="88" t="s">
        <v>285</v>
      </c>
      <c r="D86" s="179">
        <v>387702</v>
      </c>
    </row>
    <row r="87" spans="2:4" x14ac:dyDescent="0.2">
      <c r="B87" s="160" t="s">
        <v>283</v>
      </c>
      <c r="C87" s="88" t="s">
        <v>101</v>
      </c>
      <c r="D87" s="179">
        <v>2297</v>
      </c>
    </row>
    <row r="88" spans="2:4" x14ac:dyDescent="0.2">
      <c r="B88" s="160" t="s">
        <v>107</v>
      </c>
      <c r="C88" s="88" t="s">
        <v>104</v>
      </c>
      <c r="D88" s="179">
        <v>4403</v>
      </c>
    </row>
    <row r="89" spans="2:4" x14ac:dyDescent="0.2">
      <c r="B89" s="160" t="s">
        <v>404</v>
      </c>
      <c r="C89" s="88" t="s">
        <v>101</v>
      </c>
      <c r="D89" s="179">
        <v>20307</v>
      </c>
    </row>
    <row r="90" spans="2:4" x14ac:dyDescent="0.2">
      <c r="B90" s="160" t="s">
        <v>228</v>
      </c>
      <c r="C90" s="88" t="s">
        <v>85</v>
      </c>
      <c r="D90" s="179">
        <v>26109.600000000002</v>
      </c>
    </row>
    <row r="91" spans="2:4" x14ac:dyDescent="0.2">
      <c r="B91" s="160" t="s">
        <v>120</v>
      </c>
      <c r="C91" s="88" t="s">
        <v>119</v>
      </c>
      <c r="D91" s="179">
        <v>26000</v>
      </c>
    </row>
    <row r="92" spans="2:4" x14ac:dyDescent="0.2">
      <c r="B92" s="160" t="s">
        <v>72</v>
      </c>
      <c r="C92" s="88" t="s">
        <v>111</v>
      </c>
      <c r="D92" s="179">
        <v>44000</v>
      </c>
    </row>
    <row r="93" spans="2:4" x14ac:dyDescent="0.2">
      <c r="B93" s="160" t="s">
        <v>66</v>
      </c>
      <c r="C93" s="88" t="s">
        <v>111</v>
      </c>
      <c r="D93" s="179">
        <v>18500</v>
      </c>
    </row>
    <row r="94" spans="2:4" x14ac:dyDescent="0.2">
      <c r="B94" s="160" t="s">
        <v>222</v>
      </c>
      <c r="C94" s="88" t="s">
        <v>85</v>
      </c>
      <c r="D94" s="179">
        <v>35000</v>
      </c>
    </row>
    <row r="95" spans="2:4" x14ac:dyDescent="0.2">
      <c r="B95" s="160" t="s">
        <v>290</v>
      </c>
      <c r="C95" s="88" t="s">
        <v>285</v>
      </c>
      <c r="D95" s="179">
        <v>81519</v>
      </c>
    </row>
    <row r="96" spans="2:4" x14ac:dyDescent="0.2">
      <c r="B96" s="160" t="s">
        <v>99</v>
      </c>
      <c r="C96" s="88" t="s">
        <v>69</v>
      </c>
      <c r="D96" s="179">
        <v>35000</v>
      </c>
    </row>
    <row r="97" spans="2:4" x14ac:dyDescent="0.2">
      <c r="B97" s="160" t="s">
        <v>416</v>
      </c>
      <c r="C97" s="88" t="s">
        <v>369</v>
      </c>
      <c r="D97" s="179">
        <v>3500</v>
      </c>
    </row>
    <row r="98" spans="2:4" x14ac:dyDescent="0.2">
      <c r="B98" s="160" t="s">
        <v>422</v>
      </c>
      <c r="C98" s="88" t="s">
        <v>369</v>
      </c>
      <c r="D98" s="179">
        <v>3080</v>
      </c>
    </row>
    <row r="99" spans="2:4" x14ac:dyDescent="0.2">
      <c r="B99" s="160" t="s">
        <v>428</v>
      </c>
      <c r="C99" s="88" t="s">
        <v>429</v>
      </c>
      <c r="D99" s="179">
        <v>3900</v>
      </c>
    </row>
    <row r="100" spans="2:4" x14ac:dyDescent="0.2">
      <c r="B100" s="160" t="s">
        <v>154</v>
      </c>
      <c r="C100" s="88" t="s">
        <v>101</v>
      </c>
      <c r="D100" s="179">
        <v>2503.7599999999998</v>
      </c>
    </row>
    <row r="101" spans="2:4" x14ac:dyDescent="0.2">
      <c r="B101" s="160" t="s">
        <v>144</v>
      </c>
      <c r="C101" s="88" t="s">
        <v>101</v>
      </c>
      <c r="D101" s="179">
        <v>1085.28</v>
      </c>
    </row>
    <row r="102" spans="2:4" x14ac:dyDescent="0.2">
      <c r="B102" s="160" t="s">
        <v>156</v>
      </c>
      <c r="C102" s="88" t="s">
        <v>90</v>
      </c>
      <c r="D102" s="179">
        <v>9993.619999999999</v>
      </c>
    </row>
    <row r="103" spans="2:4" x14ac:dyDescent="0.2">
      <c r="B103" s="160" t="s">
        <v>670</v>
      </c>
      <c r="C103" s="88" t="s">
        <v>90</v>
      </c>
      <c r="D103" s="177">
        <f>1280*1.19</f>
        <v>1523.1999999999998</v>
      </c>
    </row>
    <row r="104" spans="2:4" x14ac:dyDescent="0.2">
      <c r="B104" s="160" t="s">
        <v>133</v>
      </c>
      <c r="C104" s="88" t="s">
        <v>90</v>
      </c>
      <c r="D104" s="179">
        <v>5465.67</v>
      </c>
    </row>
    <row r="105" spans="2:4" x14ac:dyDescent="0.2">
      <c r="B105" s="160" t="s">
        <v>209</v>
      </c>
      <c r="C105" s="88" t="s">
        <v>90</v>
      </c>
      <c r="D105" s="179">
        <v>2927.4</v>
      </c>
    </row>
    <row r="106" spans="2:4" x14ac:dyDescent="0.2">
      <c r="B106" s="160" t="s">
        <v>126</v>
      </c>
      <c r="C106" s="88" t="s">
        <v>101</v>
      </c>
      <c r="D106" s="179">
        <v>583.1</v>
      </c>
    </row>
    <row r="107" spans="2:4" x14ac:dyDescent="0.2">
      <c r="B107" s="160" t="s">
        <v>666</v>
      </c>
      <c r="C107" s="88" t="s">
        <v>90</v>
      </c>
      <c r="D107" s="177">
        <f>21677*1.19</f>
        <v>25795.629999999997</v>
      </c>
    </row>
    <row r="108" spans="2:4" x14ac:dyDescent="0.2">
      <c r="B108" s="160" t="s">
        <v>136</v>
      </c>
      <c r="C108" s="88" t="s">
        <v>90</v>
      </c>
      <c r="D108" s="177">
        <f>7527*1.19</f>
        <v>8957.1299999999992</v>
      </c>
    </row>
    <row r="109" spans="2:4" x14ac:dyDescent="0.2">
      <c r="B109" s="160" t="s">
        <v>129</v>
      </c>
      <c r="C109" s="88" t="s">
        <v>90</v>
      </c>
      <c r="D109" s="179">
        <v>779.44999999999993</v>
      </c>
    </row>
    <row r="110" spans="2:4" x14ac:dyDescent="0.2">
      <c r="B110" s="160" t="s">
        <v>88</v>
      </c>
      <c r="C110" s="88" t="s">
        <v>87</v>
      </c>
      <c r="D110" s="179">
        <v>297837</v>
      </c>
    </row>
    <row r="111" spans="2:4" x14ac:dyDescent="0.2">
      <c r="B111" s="160" t="s">
        <v>97</v>
      </c>
      <c r="C111" s="88" t="s">
        <v>69</v>
      </c>
      <c r="D111" s="179">
        <v>308448.95</v>
      </c>
    </row>
    <row r="112" spans="2:4" x14ac:dyDescent="0.2">
      <c r="B112" s="160" t="s">
        <v>98</v>
      </c>
      <c r="C112" s="88" t="s">
        <v>69</v>
      </c>
      <c r="D112" s="179">
        <v>344693.25</v>
      </c>
    </row>
    <row r="113" spans="2:4" x14ac:dyDescent="0.2">
      <c r="B113" s="160" t="s">
        <v>165</v>
      </c>
      <c r="C113" s="88" t="s">
        <v>86</v>
      </c>
      <c r="D113" s="179">
        <v>244206</v>
      </c>
    </row>
    <row r="114" spans="2:4" x14ac:dyDescent="0.2">
      <c r="B114" s="160" t="s">
        <v>190</v>
      </c>
      <c r="C114" s="88" t="s">
        <v>189</v>
      </c>
      <c r="D114" s="179">
        <v>16000</v>
      </c>
    </row>
    <row r="115" spans="2:4" x14ac:dyDescent="0.2">
      <c r="B115" s="160" t="s">
        <v>304</v>
      </c>
      <c r="C115" s="88" t="s">
        <v>289</v>
      </c>
      <c r="D115" s="179">
        <v>16085</v>
      </c>
    </row>
    <row r="116" spans="2:4" x14ac:dyDescent="0.2">
      <c r="B116" s="160" t="s">
        <v>220</v>
      </c>
      <c r="C116" s="88" t="s">
        <v>101</v>
      </c>
      <c r="D116" s="179">
        <v>128000</v>
      </c>
    </row>
    <row r="117" spans="2:4" x14ac:dyDescent="0.2">
      <c r="B117" s="160" t="s">
        <v>303</v>
      </c>
      <c r="C117" s="88" t="s">
        <v>289</v>
      </c>
      <c r="D117" s="179">
        <v>54711</v>
      </c>
    </row>
    <row r="118" spans="2:4" x14ac:dyDescent="0.2">
      <c r="B118" s="160" t="s">
        <v>427</v>
      </c>
      <c r="C118" s="88" t="s">
        <v>85</v>
      </c>
      <c r="D118" s="179">
        <v>50626</v>
      </c>
    </row>
    <row r="119" spans="2:4" x14ac:dyDescent="0.2">
      <c r="B119" s="160" t="s">
        <v>219</v>
      </c>
      <c r="C119" s="88" t="s">
        <v>101</v>
      </c>
      <c r="D119" s="179">
        <v>21500</v>
      </c>
    </row>
    <row r="120" spans="2:4" x14ac:dyDescent="0.2">
      <c r="B120" s="160" t="s">
        <v>215</v>
      </c>
      <c r="C120" s="88" t="s">
        <v>101</v>
      </c>
      <c r="D120" s="179">
        <v>395000</v>
      </c>
    </row>
    <row r="121" spans="2:4" x14ac:dyDescent="0.2">
      <c r="B121" s="160" t="s">
        <v>421</v>
      </c>
      <c r="C121" s="88" t="s">
        <v>369</v>
      </c>
      <c r="D121" s="179">
        <v>1600</v>
      </c>
    </row>
    <row r="122" spans="2:4" ht="28.5" x14ac:dyDescent="0.2">
      <c r="B122" s="160" t="s">
        <v>393</v>
      </c>
      <c r="C122" s="88" t="s">
        <v>285</v>
      </c>
      <c r="D122" s="177">
        <v>2330000</v>
      </c>
    </row>
    <row r="123" spans="2:4" x14ac:dyDescent="0.2">
      <c r="B123" s="160" t="s">
        <v>96</v>
      </c>
      <c r="C123" s="88" t="s">
        <v>94</v>
      </c>
      <c r="D123" s="179">
        <v>21400</v>
      </c>
    </row>
    <row r="124" spans="2:4" x14ac:dyDescent="0.2">
      <c r="B124" s="160" t="s">
        <v>95</v>
      </c>
      <c r="C124" s="88" t="s">
        <v>90</v>
      </c>
      <c r="D124" s="179">
        <v>9282</v>
      </c>
    </row>
    <row r="125" spans="2:4" x14ac:dyDescent="0.2">
      <c r="B125" s="160" t="s">
        <v>182</v>
      </c>
      <c r="C125" s="88" t="s">
        <v>181</v>
      </c>
      <c r="D125" s="179">
        <v>23800</v>
      </c>
    </row>
    <row r="126" spans="2:4" x14ac:dyDescent="0.2">
      <c r="B126" s="160" t="s">
        <v>374</v>
      </c>
      <c r="C126" s="88" t="s">
        <v>105</v>
      </c>
      <c r="D126" s="179">
        <v>17900</v>
      </c>
    </row>
    <row r="127" spans="2:4" x14ac:dyDescent="0.2">
      <c r="B127" s="160" t="s">
        <v>385</v>
      </c>
      <c r="C127" s="88" t="s">
        <v>389</v>
      </c>
      <c r="D127" s="177">
        <v>45800</v>
      </c>
    </row>
    <row r="128" spans="2:4" x14ac:dyDescent="0.2">
      <c r="B128" s="160" t="s">
        <v>178</v>
      </c>
      <c r="C128" s="88" t="s">
        <v>104</v>
      </c>
      <c r="D128" s="179">
        <v>850</v>
      </c>
    </row>
    <row r="129" spans="2:4" x14ac:dyDescent="0.2">
      <c r="B129" s="160" t="s">
        <v>284</v>
      </c>
      <c r="C129" s="88" t="s">
        <v>285</v>
      </c>
      <c r="D129" s="179">
        <v>91914</v>
      </c>
    </row>
    <row r="130" spans="2:4" x14ac:dyDescent="0.2">
      <c r="B130" s="160" t="s">
        <v>217</v>
      </c>
      <c r="C130" s="88" t="s">
        <v>101</v>
      </c>
      <c r="D130" s="179">
        <v>179800</v>
      </c>
    </row>
    <row r="131" spans="2:4" x14ac:dyDescent="0.2">
      <c r="B131" s="160" t="s">
        <v>217</v>
      </c>
      <c r="C131" s="88" t="s">
        <v>101</v>
      </c>
      <c r="D131" s="179">
        <v>65800</v>
      </c>
    </row>
    <row r="132" spans="2:4" x14ac:dyDescent="0.2">
      <c r="B132" s="160" t="s">
        <v>151</v>
      </c>
      <c r="C132" s="88" t="s">
        <v>109</v>
      </c>
      <c r="D132" s="179">
        <v>61578.815020000002</v>
      </c>
    </row>
    <row r="133" spans="2:4" x14ac:dyDescent="0.2">
      <c r="B133" s="160" t="s">
        <v>305</v>
      </c>
      <c r="C133" s="88" t="s">
        <v>285</v>
      </c>
      <c r="D133" s="179">
        <v>1323</v>
      </c>
    </row>
    <row r="134" spans="2:4" x14ac:dyDescent="0.2">
      <c r="B134" s="160" t="s">
        <v>122</v>
      </c>
      <c r="C134" s="88" t="s">
        <v>103</v>
      </c>
      <c r="D134" s="179">
        <v>38000</v>
      </c>
    </row>
    <row r="135" spans="2:4" x14ac:dyDescent="0.2">
      <c r="B135" s="160" t="s">
        <v>122</v>
      </c>
      <c r="C135" s="88" t="s">
        <v>103</v>
      </c>
      <c r="D135" s="177">
        <v>38000</v>
      </c>
    </row>
    <row r="136" spans="2:4" x14ac:dyDescent="0.2">
      <c r="B136" s="160" t="s">
        <v>161</v>
      </c>
      <c r="C136" s="88" t="s">
        <v>162</v>
      </c>
      <c r="D136" s="179">
        <v>8000</v>
      </c>
    </row>
    <row r="137" spans="2:4" x14ac:dyDescent="0.2">
      <c r="B137" s="160" t="s">
        <v>394</v>
      </c>
      <c r="C137" s="88" t="s">
        <v>287</v>
      </c>
      <c r="D137" s="177">
        <v>39500</v>
      </c>
    </row>
    <row r="138" spans="2:4" ht="28.5" x14ac:dyDescent="0.2">
      <c r="B138" s="160" t="s">
        <v>309</v>
      </c>
      <c r="C138" s="88" t="s">
        <v>285</v>
      </c>
      <c r="D138" s="179">
        <v>53069</v>
      </c>
    </row>
    <row r="139" spans="2:4" ht="28.5" x14ac:dyDescent="0.2">
      <c r="B139" s="160" t="s">
        <v>172</v>
      </c>
      <c r="C139" s="88" t="s">
        <v>174</v>
      </c>
      <c r="D139" s="179">
        <v>45855</v>
      </c>
    </row>
    <row r="140" spans="2:4" x14ac:dyDescent="0.2">
      <c r="B140" s="160" t="s">
        <v>295</v>
      </c>
      <c r="C140" s="88" t="s">
        <v>108</v>
      </c>
      <c r="D140" s="179">
        <v>17990</v>
      </c>
    </row>
    <row r="141" spans="2:4" x14ac:dyDescent="0.2">
      <c r="B141" s="160" t="s">
        <v>216</v>
      </c>
      <c r="C141" s="88" t="s">
        <v>101</v>
      </c>
      <c r="D141" s="179">
        <v>12500</v>
      </c>
    </row>
    <row r="142" spans="2:4" x14ac:dyDescent="0.2">
      <c r="B142" s="160" t="s">
        <v>113</v>
      </c>
      <c r="C142" s="88" t="s">
        <v>69</v>
      </c>
      <c r="D142" s="179">
        <v>33333.333333333336</v>
      </c>
    </row>
    <row r="143" spans="2:4" x14ac:dyDescent="0.2">
      <c r="B143" s="160" t="s">
        <v>400</v>
      </c>
      <c r="C143" s="88" t="s">
        <v>138</v>
      </c>
      <c r="D143" s="179">
        <v>150000</v>
      </c>
    </row>
    <row r="144" spans="2:4" x14ac:dyDescent="0.2">
      <c r="B144" s="160" t="s">
        <v>115</v>
      </c>
      <c r="C144" s="88" t="s">
        <v>86</v>
      </c>
      <c r="D144" s="179">
        <v>205360</v>
      </c>
    </row>
    <row r="145" spans="2:4" x14ac:dyDescent="0.2">
      <c r="B145" s="160" t="s">
        <v>379</v>
      </c>
      <c r="C145" s="88" t="s">
        <v>381</v>
      </c>
      <c r="D145" s="179">
        <v>117379.47368421052</v>
      </c>
    </row>
    <row r="146" spans="2:4" x14ac:dyDescent="0.2">
      <c r="B146" s="160" t="s">
        <v>218</v>
      </c>
      <c r="C146" s="88" t="s">
        <v>101</v>
      </c>
      <c r="D146" s="179">
        <v>262900</v>
      </c>
    </row>
    <row r="147" spans="2:4" x14ac:dyDescent="0.2">
      <c r="B147" s="160" t="s">
        <v>152</v>
      </c>
      <c r="C147" s="88" t="s">
        <v>109</v>
      </c>
      <c r="D147" s="179">
        <v>14117.31625</v>
      </c>
    </row>
    <row r="148" spans="2:4" x14ac:dyDescent="0.2">
      <c r="B148" s="160" t="s">
        <v>380</v>
      </c>
      <c r="C148" s="88" t="s">
        <v>381</v>
      </c>
      <c r="D148" s="179">
        <v>13332.105263157895</v>
      </c>
    </row>
    <row r="149" spans="2:4" x14ac:dyDescent="0.2">
      <c r="B149" s="160" t="s">
        <v>229</v>
      </c>
      <c r="C149" s="88" t="s">
        <v>85</v>
      </c>
      <c r="D149" s="179">
        <v>156657.60000000001</v>
      </c>
    </row>
    <row r="150" spans="2:4" x14ac:dyDescent="0.2">
      <c r="B150" s="160" t="s">
        <v>223</v>
      </c>
      <c r="C150" s="88" t="s">
        <v>224</v>
      </c>
      <c r="D150" s="179">
        <v>35400</v>
      </c>
    </row>
    <row r="151" spans="2:4" x14ac:dyDescent="0.2">
      <c r="B151" s="160" t="s">
        <v>180</v>
      </c>
      <c r="C151" s="88" t="s">
        <v>104</v>
      </c>
      <c r="D151" s="179">
        <v>1726.6899999999998</v>
      </c>
    </row>
    <row r="152" spans="2:4" x14ac:dyDescent="0.2">
      <c r="B152" s="160" t="s">
        <v>299</v>
      </c>
      <c r="C152" s="88" t="s">
        <v>300</v>
      </c>
      <c r="D152" s="179">
        <v>66200</v>
      </c>
    </row>
    <row r="153" spans="2:4" x14ac:dyDescent="0.2">
      <c r="B153" s="160" t="s">
        <v>191</v>
      </c>
      <c r="C153" s="88" t="s">
        <v>189</v>
      </c>
      <c r="D153" s="179">
        <v>32000</v>
      </c>
    </row>
    <row r="154" spans="2:4" x14ac:dyDescent="0.2">
      <c r="B154" s="160" t="s">
        <v>210</v>
      </c>
      <c r="C154" s="88" t="s">
        <v>189</v>
      </c>
      <c r="D154" s="179">
        <v>43000</v>
      </c>
    </row>
    <row r="155" spans="2:4" x14ac:dyDescent="0.2">
      <c r="B155" s="160" t="s">
        <v>153</v>
      </c>
      <c r="C155" s="88" t="s">
        <v>109</v>
      </c>
      <c r="D155" s="179">
        <v>22768.005250000002</v>
      </c>
    </row>
    <row r="156" spans="2:4" ht="28.5" x14ac:dyDescent="0.2">
      <c r="B156" s="160" t="s">
        <v>301</v>
      </c>
      <c r="C156" s="88" t="s">
        <v>300</v>
      </c>
      <c r="D156" s="179">
        <v>3206043</v>
      </c>
    </row>
    <row r="157" spans="2:4" x14ac:dyDescent="0.2">
      <c r="B157" s="160" t="s">
        <v>226</v>
      </c>
      <c r="C157" s="88" t="s">
        <v>85</v>
      </c>
      <c r="D157" s="179">
        <v>124281.696</v>
      </c>
    </row>
    <row r="158" spans="2:4" x14ac:dyDescent="0.2">
      <c r="B158" s="160" t="s">
        <v>143</v>
      </c>
      <c r="C158" s="88" t="s">
        <v>101</v>
      </c>
      <c r="D158" s="179">
        <v>1587.46</v>
      </c>
    </row>
    <row r="159" spans="2:4" x14ac:dyDescent="0.2">
      <c r="B159" s="160" t="s">
        <v>321</v>
      </c>
      <c r="C159" s="88" t="s">
        <v>101</v>
      </c>
      <c r="D159" s="179">
        <v>20990</v>
      </c>
    </row>
    <row r="160" spans="2:4" x14ac:dyDescent="0.2">
      <c r="B160" s="160" t="s">
        <v>423</v>
      </c>
      <c r="C160" s="88" t="s">
        <v>369</v>
      </c>
      <c r="D160" s="179">
        <v>1800</v>
      </c>
    </row>
    <row r="161" spans="2:4" x14ac:dyDescent="0.2">
      <c r="B161" s="160" t="s">
        <v>159</v>
      </c>
      <c r="C161" s="88" t="s">
        <v>160</v>
      </c>
      <c r="D161" s="179">
        <v>90000</v>
      </c>
    </row>
    <row r="162" spans="2:4" x14ac:dyDescent="0.2">
      <c r="B162" s="160" t="s">
        <v>212</v>
      </c>
      <c r="C162" s="88" t="s">
        <v>101</v>
      </c>
      <c r="D162" s="179">
        <v>285000</v>
      </c>
    </row>
    <row r="163" spans="2:4" x14ac:dyDescent="0.2">
      <c r="B163" s="160" t="s">
        <v>324</v>
      </c>
      <c r="C163" s="88" t="s">
        <v>103</v>
      </c>
      <c r="D163" s="177">
        <v>20119</v>
      </c>
    </row>
    <row r="164" spans="2:4" x14ac:dyDescent="0.2">
      <c r="B164" s="160" t="s">
        <v>147</v>
      </c>
      <c r="C164" s="88" t="s">
        <v>101</v>
      </c>
      <c r="D164" s="179">
        <v>23400</v>
      </c>
    </row>
    <row r="165" spans="2:4" x14ac:dyDescent="0.2">
      <c r="B165" s="160" t="s">
        <v>147</v>
      </c>
      <c r="C165" s="88" t="s">
        <v>101</v>
      </c>
      <c r="D165" s="179">
        <v>11243</v>
      </c>
    </row>
    <row r="166" spans="2:4" x14ac:dyDescent="0.2">
      <c r="B166" s="160" t="s">
        <v>211</v>
      </c>
      <c r="C166" s="88" t="s">
        <v>117</v>
      </c>
      <c r="D166" s="179">
        <v>13800</v>
      </c>
    </row>
    <row r="167" spans="2:4" x14ac:dyDescent="0.2">
      <c r="B167" s="160" t="s">
        <v>418</v>
      </c>
      <c r="C167" s="88" t="s">
        <v>369</v>
      </c>
      <c r="D167" s="179">
        <v>10234</v>
      </c>
    </row>
    <row r="168" spans="2:4" x14ac:dyDescent="0.2">
      <c r="B168" s="160" t="s">
        <v>123</v>
      </c>
      <c r="C168" s="88" t="s">
        <v>103</v>
      </c>
      <c r="D168" s="177">
        <v>62900</v>
      </c>
    </row>
    <row r="169" spans="2:4" x14ac:dyDescent="0.2">
      <c r="B169" s="160" t="s">
        <v>123</v>
      </c>
      <c r="C169" s="88" t="s">
        <v>103</v>
      </c>
      <c r="D169" s="177">
        <v>62900</v>
      </c>
    </row>
    <row r="170" spans="2:4" x14ac:dyDescent="0.2">
      <c r="B170" s="160" t="s">
        <v>188</v>
      </c>
      <c r="C170" s="88" t="s">
        <v>176</v>
      </c>
      <c r="D170" s="179">
        <v>7500</v>
      </c>
    </row>
    <row r="171" spans="2:4" x14ac:dyDescent="0.2">
      <c r="B171" s="160" t="s">
        <v>286</v>
      </c>
      <c r="C171" s="88" t="s">
        <v>287</v>
      </c>
      <c r="D171" s="179">
        <v>16331</v>
      </c>
    </row>
    <row r="172" spans="2:4" x14ac:dyDescent="0.2">
      <c r="B172" s="160" t="s">
        <v>286</v>
      </c>
      <c r="C172" s="88" t="s">
        <v>85</v>
      </c>
      <c r="D172" s="179">
        <v>16331</v>
      </c>
    </row>
    <row r="173" spans="2:4" x14ac:dyDescent="0.2">
      <c r="B173" s="160" t="s">
        <v>227</v>
      </c>
      <c r="C173" s="88" t="s">
        <v>85</v>
      </c>
      <c r="D173" s="179">
        <v>279633.81599999999</v>
      </c>
    </row>
    <row r="174" spans="2:4" ht="28.5" x14ac:dyDescent="0.2">
      <c r="B174" s="160" t="s">
        <v>306</v>
      </c>
      <c r="C174" s="88" t="s">
        <v>300</v>
      </c>
      <c r="D174" s="179">
        <v>853486</v>
      </c>
    </row>
    <row r="175" spans="2:4" x14ac:dyDescent="0.2">
      <c r="B175" s="160" t="s">
        <v>386</v>
      </c>
      <c r="C175" s="88" t="s">
        <v>285</v>
      </c>
      <c r="D175" s="177">
        <v>65000</v>
      </c>
    </row>
    <row r="176" spans="2:4" x14ac:dyDescent="0.2">
      <c r="B176" s="160" t="s">
        <v>214</v>
      </c>
      <c r="C176" s="88" t="s">
        <v>101</v>
      </c>
      <c r="D176" s="179">
        <v>436500</v>
      </c>
    </row>
    <row r="177" spans="2:4" x14ac:dyDescent="0.2">
      <c r="B177" s="160" t="s">
        <v>668</v>
      </c>
      <c r="C177" s="88" t="s">
        <v>90</v>
      </c>
      <c r="D177" s="177">
        <f>1782*1.19</f>
        <v>2120.58</v>
      </c>
    </row>
    <row r="178" spans="2:4" x14ac:dyDescent="0.2">
      <c r="B178" s="160" t="s">
        <v>132</v>
      </c>
      <c r="C178" s="88" t="s">
        <v>90</v>
      </c>
      <c r="D178" s="179">
        <v>7187.5999999999995</v>
      </c>
    </row>
    <row r="179" spans="2:4" x14ac:dyDescent="0.2">
      <c r="B179" s="160" t="s">
        <v>208</v>
      </c>
      <c r="C179" s="88" t="s">
        <v>90</v>
      </c>
      <c r="D179" s="179">
        <v>5475.19</v>
      </c>
    </row>
    <row r="180" spans="2:4" x14ac:dyDescent="0.2">
      <c r="B180" s="160" t="s">
        <v>125</v>
      </c>
      <c r="C180" s="88" t="s">
        <v>101</v>
      </c>
      <c r="D180" s="179">
        <v>642.6</v>
      </c>
    </row>
    <row r="181" spans="2:4" x14ac:dyDescent="0.2">
      <c r="B181" s="160" t="s">
        <v>125</v>
      </c>
      <c r="C181" s="88" t="s">
        <v>101</v>
      </c>
      <c r="D181" s="179">
        <v>642.6</v>
      </c>
    </row>
    <row r="182" spans="2:4" x14ac:dyDescent="0.2">
      <c r="B182" s="160" t="s">
        <v>139</v>
      </c>
      <c r="C182" s="88" t="s">
        <v>101</v>
      </c>
      <c r="D182" s="179">
        <v>3047.5899999999997</v>
      </c>
    </row>
    <row r="183" spans="2:4" x14ac:dyDescent="0.2">
      <c r="B183" s="160" t="s">
        <v>139</v>
      </c>
      <c r="C183" s="88" t="s">
        <v>101</v>
      </c>
      <c r="D183" s="179">
        <v>3047.5899999999997</v>
      </c>
    </row>
    <row r="184" spans="2:4" x14ac:dyDescent="0.2">
      <c r="B184" s="160" t="s">
        <v>665</v>
      </c>
      <c r="C184" s="88" t="s">
        <v>90</v>
      </c>
      <c r="D184" s="177">
        <f>22813*1.19</f>
        <v>27147.469999999998</v>
      </c>
    </row>
    <row r="185" spans="2:4" x14ac:dyDescent="0.2">
      <c r="B185" s="160" t="s">
        <v>135</v>
      </c>
      <c r="C185" s="88" t="s">
        <v>90</v>
      </c>
      <c r="D185" s="177">
        <f>9619*1.19</f>
        <v>11446.609999999999</v>
      </c>
    </row>
    <row r="186" spans="2:4" x14ac:dyDescent="0.2">
      <c r="B186" s="160" t="s">
        <v>128</v>
      </c>
      <c r="C186" s="88" t="s">
        <v>90</v>
      </c>
      <c r="D186" s="179">
        <v>1650</v>
      </c>
    </row>
    <row r="187" spans="2:4" x14ac:dyDescent="0.2">
      <c r="B187" s="160" t="s">
        <v>128</v>
      </c>
      <c r="C187" s="88" t="s">
        <v>101</v>
      </c>
      <c r="D187" s="179">
        <v>764</v>
      </c>
    </row>
    <row r="188" spans="2:4" x14ac:dyDescent="0.2">
      <c r="B188" s="160" t="s">
        <v>647</v>
      </c>
      <c r="C188" s="88" t="s">
        <v>85</v>
      </c>
      <c r="D188" s="179">
        <v>135572</v>
      </c>
    </row>
    <row r="189" spans="2:4" x14ac:dyDescent="0.2">
      <c r="B189" s="160" t="s">
        <v>91</v>
      </c>
      <c r="C189" s="88"/>
      <c r="D189" s="179">
        <v>80000</v>
      </c>
    </row>
    <row r="190" spans="2:4" x14ac:dyDescent="0.2">
      <c r="B190" s="160" t="s">
        <v>91</v>
      </c>
      <c r="C190" s="88" t="s">
        <v>85</v>
      </c>
      <c r="D190" s="179">
        <v>75000</v>
      </c>
    </row>
    <row r="191" spans="2:4" x14ac:dyDescent="0.2">
      <c r="B191" s="160" t="s">
        <v>419</v>
      </c>
      <c r="C191" s="88" t="s">
        <v>369</v>
      </c>
      <c r="D191" s="179">
        <v>26</v>
      </c>
    </row>
    <row r="192" spans="2:4" x14ac:dyDescent="0.2">
      <c r="B192" s="160" t="s">
        <v>424</v>
      </c>
      <c r="C192" s="88"/>
      <c r="D192" s="179">
        <v>33</v>
      </c>
    </row>
    <row r="193" spans="2:7" x14ac:dyDescent="0.2">
      <c r="B193" s="160" t="s">
        <v>399</v>
      </c>
      <c r="C193" s="88" t="s">
        <v>105</v>
      </c>
      <c r="D193" s="179">
        <v>2906.6666666666665</v>
      </c>
    </row>
    <row r="194" spans="2:7" x14ac:dyDescent="0.2">
      <c r="B194" s="160" t="s">
        <v>145</v>
      </c>
      <c r="C194" s="88" t="s">
        <v>138</v>
      </c>
      <c r="D194" s="179">
        <v>2039.8696666666665</v>
      </c>
    </row>
    <row r="195" spans="2:7" x14ac:dyDescent="0.2">
      <c r="B195" s="160" t="s">
        <v>141</v>
      </c>
      <c r="C195" s="88" t="s">
        <v>82</v>
      </c>
      <c r="D195" s="179">
        <v>2993.0483333333336</v>
      </c>
    </row>
    <row r="196" spans="2:7" x14ac:dyDescent="0.2">
      <c r="B196" s="160" t="s">
        <v>141</v>
      </c>
      <c r="C196" s="88" t="s">
        <v>138</v>
      </c>
      <c r="D196" s="179">
        <v>2993.0483333333336</v>
      </c>
    </row>
    <row r="197" spans="2:7" x14ac:dyDescent="0.2">
      <c r="B197" s="160" t="s">
        <v>294</v>
      </c>
      <c r="C197" s="88" t="s">
        <v>85</v>
      </c>
      <c r="D197" s="179">
        <v>9150</v>
      </c>
    </row>
    <row r="198" spans="2:7" x14ac:dyDescent="0.2">
      <c r="B198" s="160" t="s">
        <v>293</v>
      </c>
      <c r="C198" s="88" t="s">
        <v>85</v>
      </c>
      <c r="D198" s="179">
        <v>28361.666666666668</v>
      </c>
    </row>
    <row r="199" spans="2:7" x14ac:dyDescent="0.2">
      <c r="B199" s="160" t="s">
        <v>206</v>
      </c>
      <c r="C199" s="88" t="s">
        <v>82</v>
      </c>
      <c r="D199" s="179">
        <v>6688.9899999999989</v>
      </c>
    </row>
    <row r="200" spans="2:7" x14ac:dyDescent="0.2">
      <c r="B200" s="160" t="s">
        <v>667</v>
      </c>
      <c r="C200" s="88" t="s">
        <v>82</v>
      </c>
      <c r="D200" s="177">
        <f>(18724*1.19)/6</f>
        <v>3713.5933333333328</v>
      </c>
    </row>
    <row r="201" spans="2:7" x14ac:dyDescent="0.2">
      <c r="B201" s="160" t="s">
        <v>663</v>
      </c>
      <c r="C201" s="88" t="s">
        <v>82</v>
      </c>
      <c r="D201" s="177">
        <f>(109442*1.19)/6</f>
        <v>21705.996666666666</v>
      </c>
      <c r="G201" s="25"/>
    </row>
    <row r="202" spans="2:7" x14ac:dyDescent="0.2">
      <c r="B202" s="160" t="s">
        <v>661</v>
      </c>
      <c r="C202" s="88" t="s">
        <v>82</v>
      </c>
      <c r="D202" s="177">
        <f>(67529*1.19)/6</f>
        <v>13393.251666666665</v>
      </c>
    </row>
    <row r="203" spans="2:7" x14ac:dyDescent="0.2">
      <c r="B203" s="160" t="s">
        <v>137</v>
      </c>
      <c r="C203" s="88" t="s">
        <v>82</v>
      </c>
      <c r="D203" s="179">
        <v>3985.31</v>
      </c>
    </row>
    <row r="204" spans="2:7" x14ac:dyDescent="0.2">
      <c r="B204" s="160" t="s">
        <v>142</v>
      </c>
      <c r="C204" s="88" t="s">
        <v>138</v>
      </c>
      <c r="D204" s="179">
        <v>3985.31</v>
      </c>
    </row>
    <row r="205" spans="2:7" x14ac:dyDescent="0.2">
      <c r="B205" s="160" t="s">
        <v>402</v>
      </c>
      <c r="C205" s="88" t="s">
        <v>138</v>
      </c>
      <c r="D205" s="179">
        <v>49431.409999999996</v>
      </c>
    </row>
    <row r="206" spans="2:7" x14ac:dyDescent="0.2">
      <c r="B206" s="160" t="s">
        <v>130</v>
      </c>
      <c r="C206" s="88" t="s">
        <v>82</v>
      </c>
      <c r="D206" s="179">
        <v>8734.0049999999992</v>
      </c>
    </row>
    <row r="207" spans="2:7" x14ac:dyDescent="0.2">
      <c r="B207" s="160" t="s">
        <v>149</v>
      </c>
      <c r="C207" s="88" t="s">
        <v>82</v>
      </c>
      <c r="D207" s="179">
        <v>9306.7916666666661</v>
      </c>
    </row>
    <row r="208" spans="2:7" x14ac:dyDescent="0.2">
      <c r="B208" s="160" t="s">
        <v>148</v>
      </c>
      <c r="C208" s="88" t="s">
        <v>82</v>
      </c>
      <c r="D208" s="179">
        <v>19372.803333333333</v>
      </c>
    </row>
    <row r="209" spans="2:8" x14ac:dyDescent="0.2">
      <c r="B209" s="160" t="s">
        <v>148</v>
      </c>
      <c r="C209" s="88" t="s">
        <v>82</v>
      </c>
      <c r="D209" s="179">
        <v>12915.202222222222</v>
      </c>
    </row>
    <row r="210" spans="2:8" x14ac:dyDescent="0.2">
      <c r="B210" s="160" t="s">
        <v>669</v>
      </c>
      <c r="C210" s="88" t="s">
        <v>90</v>
      </c>
      <c r="D210" s="177">
        <f>675*1.19</f>
        <v>803.25</v>
      </c>
    </row>
    <row r="211" spans="2:8" x14ac:dyDescent="0.2">
      <c r="B211" s="160" t="s">
        <v>131</v>
      </c>
      <c r="C211" s="88" t="s">
        <v>90</v>
      </c>
      <c r="D211" s="179">
        <v>2011.1</v>
      </c>
    </row>
    <row r="212" spans="2:8" x14ac:dyDescent="0.2">
      <c r="B212" s="160" t="s">
        <v>207</v>
      </c>
      <c r="C212" s="88" t="s">
        <v>90</v>
      </c>
      <c r="D212" s="179">
        <v>1472.03</v>
      </c>
    </row>
    <row r="213" spans="2:8" x14ac:dyDescent="0.2">
      <c r="B213" s="160" t="s">
        <v>124</v>
      </c>
      <c r="C213" s="88" t="s">
        <v>101</v>
      </c>
      <c r="D213" s="179">
        <v>566</v>
      </c>
    </row>
    <row r="214" spans="2:8" x14ac:dyDescent="0.2">
      <c r="B214" s="160" t="s">
        <v>124</v>
      </c>
      <c r="C214" s="88" t="s">
        <v>101</v>
      </c>
      <c r="D214" s="179">
        <v>566</v>
      </c>
      <c r="G214" s="25"/>
      <c r="H214" s="25"/>
    </row>
    <row r="215" spans="2:8" x14ac:dyDescent="0.2">
      <c r="B215" s="160" t="s">
        <v>664</v>
      </c>
      <c r="C215" s="88" t="s">
        <v>90</v>
      </c>
      <c r="D215" s="177">
        <f>10956*1.19</f>
        <v>13037.64</v>
      </c>
      <c r="G215" s="158"/>
      <c r="H215" s="25"/>
    </row>
    <row r="216" spans="2:8" x14ac:dyDescent="0.2">
      <c r="B216" s="160" t="s">
        <v>134</v>
      </c>
      <c r="C216" s="88" t="s">
        <v>90</v>
      </c>
      <c r="D216" s="177">
        <f>2769*1.19</f>
        <v>3295.1099999999997</v>
      </c>
      <c r="G216" s="158"/>
      <c r="H216" s="25"/>
    </row>
    <row r="217" spans="2:8" x14ac:dyDescent="0.2">
      <c r="B217" s="160" t="s">
        <v>127</v>
      </c>
      <c r="C217" s="88" t="s">
        <v>101</v>
      </c>
      <c r="D217" s="179">
        <v>491.46999999999997</v>
      </c>
      <c r="G217" s="158"/>
      <c r="H217" s="25"/>
    </row>
    <row r="218" spans="2:8" x14ac:dyDescent="0.2">
      <c r="B218" s="160" t="s">
        <v>127</v>
      </c>
      <c r="C218" s="88" t="s">
        <v>90</v>
      </c>
      <c r="D218" s="179">
        <v>491.46999999999997</v>
      </c>
      <c r="G218" s="158"/>
      <c r="H218" s="25"/>
    </row>
    <row r="219" spans="2:8" x14ac:dyDescent="0.2">
      <c r="B219" s="160" t="s">
        <v>403</v>
      </c>
      <c r="C219" s="88" t="s">
        <v>101</v>
      </c>
      <c r="D219" s="179">
        <v>612480</v>
      </c>
      <c r="G219" s="158"/>
      <c r="H219" s="25"/>
    </row>
    <row r="220" spans="2:8" x14ac:dyDescent="0.2">
      <c r="B220" s="160" t="s">
        <v>671</v>
      </c>
      <c r="C220" s="88" t="s">
        <v>138</v>
      </c>
      <c r="D220" s="177">
        <v>110600</v>
      </c>
      <c r="G220" s="158"/>
      <c r="H220" s="25"/>
    </row>
    <row r="221" spans="2:8" x14ac:dyDescent="0.2">
      <c r="B221" s="160" t="s">
        <v>656</v>
      </c>
      <c r="C221" s="88" t="s">
        <v>138</v>
      </c>
      <c r="D221" s="177">
        <v>42100</v>
      </c>
    </row>
    <row r="222" spans="2:8" x14ac:dyDescent="0.2">
      <c r="B222" s="160" t="s">
        <v>325</v>
      </c>
      <c r="C222" s="88" t="s">
        <v>138</v>
      </c>
      <c r="D222" s="177">
        <v>218000</v>
      </c>
    </row>
    <row r="223" spans="2:8" x14ac:dyDescent="0.2">
      <c r="B223" s="160" t="s">
        <v>326</v>
      </c>
      <c r="C223" s="88" t="s">
        <v>138</v>
      </c>
      <c r="D223" s="177">
        <v>52900</v>
      </c>
    </row>
    <row r="224" spans="2:8" x14ac:dyDescent="0.2">
      <c r="B224" s="160" t="s">
        <v>420</v>
      </c>
      <c r="C224" s="88" t="s">
        <v>369</v>
      </c>
      <c r="D224" s="179">
        <v>82350</v>
      </c>
      <c r="G224" s="25"/>
    </row>
    <row r="225" spans="2:7" x14ac:dyDescent="0.2">
      <c r="B225" s="160" t="s">
        <v>417</v>
      </c>
      <c r="C225" s="88" t="s">
        <v>85</v>
      </c>
      <c r="D225" s="179">
        <v>31000</v>
      </c>
    </row>
    <row r="226" spans="2:7" x14ac:dyDescent="0.2">
      <c r="B226" s="160" t="s">
        <v>155</v>
      </c>
      <c r="C226" s="88" t="s">
        <v>101</v>
      </c>
      <c r="D226" s="179">
        <v>9189.18</v>
      </c>
    </row>
    <row r="227" spans="2:7" x14ac:dyDescent="0.2">
      <c r="B227" s="160" t="s">
        <v>157</v>
      </c>
      <c r="C227" s="88" t="s">
        <v>101</v>
      </c>
      <c r="D227" s="179">
        <v>20344.239999999998</v>
      </c>
      <c r="G227" s="25"/>
    </row>
    <row r="228" spans="2:7" x14ac:dyDescent="0.2">
      <c r="B228" s="160" t="s">
        <v>118</v>
      </c>
      <c r="C228" s="88" t="s">
        <v>119</v>
      </c>
      <c r="D228" s="179">
        <v>35000</v>
      </c>
    </row>
    <row r="229" spans="2:7" ht="42.75" x14ac:dyDescent="0.2">
      <c r="B229" s="160" t="s">
        <v>861</v>
      </c>
      <c r="C229" s="88" t="s">
        <v>285</v>
      </c>
      <c r="D229" s="179">
        <f>+'APU FORMATO'!B1675</f>
        <v>3648000</v>
      </c>
    </row>
    <row r="230" spans="2:7" x14ac:dyDescent="0.2">
      <c r="B230" s="160" t="s">
        <v>386</v>
      </c>
      <c r="C230" s="88" t="s">
        <v>285</v>
      </c>
      <c r="D230" s="323">
        <v>65000</v>
      </c>
      <c r="E230" s="25"/>
    </row>
    <row r="231" spans="2:7" ht="15" thickBot="1" x14ac:dyDescent="0.25">
      <c r="B231" s="181" t="s">
        <v>385</v>
      </c>
      <c r="C231" s="180" t="s">
        <v>389</v>
      </c>
      <c r="D231" s="324">
        <v>45800</v>
      </c>
    </row>
  </sheetData>
  <sortState ref="B3:D224">
    <sortCondition ref="B224"/>
  </sortState>
  <mergeCells count="5">
    <mergeCell ref="B5:D5"/>
    <mergeCell ref="B1:D1"/>
    <mergeCell ref="B2:D2"/>
    <mergeCell ref="B3:D3"/>
    <mergeCell ref="B4:D4"/>
  </mergeCells>
  <pageMargins left="0.7" right="0.7" top="0.75" bottom="0.75" header="0.3" footer="0.3"/>
  <pageSetup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0"/>
  <sheetViews>
    <sheetView view="pageBreakPreview" topLeftCell="A82" zoomScale="84" zoomScaleNormal="100" zoomScaleSheetLayoutView="84" workbookViewId="0">
      <selection activeCell="H99" sqref="H99"/>
    </sheetView>
  </sheetViews>
  <sheetFormatPr baseColWidth="10" defaultRowHeight="15" x14ac:dyDescent="0.25"/>
  <cols>
    <col min="1" max="1" width="6.28515625" style="101" bestFit="1" customWidth="1"/>
    <col min="2" max="2" width="29.140625" style="101" customWidth="1"/>
    <col min="3" max="3" width="5.42578125" style="101" bestFit="1" customWidth="1"/>
    <col min="4" max="7" width="11.42578125" style="101"/>
    <col min="8" max="8" width="12.28515625" style="101" bestFit="1" customWidth="1"/>
    <col min="9" max="9" width="25.42578125" style="119" customWidth="1"/>
    <col min="10" max="21" width="0" style="101" hidden="1" customWidth="1"/>
    <col min="22" max="16384" width="11.42578125" style="101"/>
  </cols>
  <sheetData>
    <row r="1" spans="1:17" x14ac:dyDescent="0.25">
      <c r="A1" s="619" t="s">
        <v>936</v>
      </c>
      <c r="B1" s="620"/>
      <c r="C1" s="620"/>
      <c r="D1" s="620"/>
      <c r="E1" s="620"/>
      <c r="F1" s="620"/>
      <c r="G1" s="620"/>
      <c r="H1" s="620"/>
      <c r="I1" s="621"/>
    </row>
    <row r="2" spans="1:17" x14ac:dyDescent="0.25">
      <c r="A2" s="616" t="s">
        <v>791</v>
      </c>
      <c r="B2" s="617"/>
      <c r="C2" s="617"/>
      <c r="D2" s="617"/>
      <c r="E2" s="617"/>
      <c r="F2" s="617"/>
      <c r="G2" s="617"/>
      <c r="H2" s="617"/>
      <c r="I2" s="618"/>
    </row>
    <row r="3" spans="1:17" x14ac:dyDescent="0.25">
      <c r="A3" s="616" t="s">
        <v>940</v>
      </c>
      <c r="B3" s="617"/>
      <c r="C3" s="617"/>
      <c r="D3" s="617"/>
      <c r="E3" s="617"/>
      <c r="F3" s="617"/>
      <c r="G3" s="617"/>
      <c r="H3" s="617"/>
      <c r="I3" s="618"/>
    </row>
    <row r="4" spans="1:17" ht="15.75" thickBot="1" x14ac:dyDescent="0.3">
      <c r="A4" s="622"/>
      <c r="B4" s="623"/>
      <c r="C4" s="623"/>
      <c r="D4" s="623"/>
      <c r="E4" s="623"/>
      <c r="F4" s="623"/>
      <c r="G4" s="623"/>
      <c r="H4" s="623"/>
      <c r="I4" s="624"/>
    </row>
    <row r="5" spans="1:17" ht="25.5" customHeight="1" thickBot="1" x14ac:dyDescent="0.3">
      <c r="A5" s="658" t="s">
        <v>449</v>
      </c>
      <c r="B5" s="659"/>
      <c r="C5" s="659"/>
      <c r="D5" s="659"/>
      <c r="E5" s="659"/>
      <c r="F5" s="659"/>
      <c r="G5" s="659"/>
      <c r="H5" s="659"/>
      <c r="I5" s="660"/>
      <c r="M5" s="101" t="s">
        <v>2</v>
      </c>
    </row>
    <row r="6" spans="1:17" ht="15.75" thickBot="1" x14ac:dyDescent="0.3">
      <c r="A6" s="547"/>
      <c r="B6" s="547"/>
      <c r="C6" s="547"/>
      <c r="D6" s="547"/>
      <c r="E6" s="547"/>
      <c r="F6" s="547"/>
      <c r="G6" s="547"/>
      <c r="H6" s="547"/>
      <c r="I6" s="547"/>
      <c r="M6" s="101" t="s">
        <v>80</v>
      </c>
    </row>
    <row r="7" spans="1:17" ht="15.75" thickBot="1" x14ac:dyDescent="0.3">
      <c r="A7" s="102" t="s">
        <v>450</v>
      </c>
      <c r="B7" s="103" t="s">
        <v>451</v>
      </c>
      <c r="C7" s="104" t="s">
        <v>2</v>
      </c>
      <c r="D7" s="103" t="s">
        <v>452</v>
      </c>
      <c r="E7" s="104" t="s">
        <v>453</v>
      </c>
      <c r="F7" s="105" t="s">
        <v>454</v>
      </c>
      <c r="G7" s="104" t="s">
        <v>455</v>
      </c>
      <c r="H7" s="105" t="s">
        <v>68</v>
      </c>
      <c r="I7" s="127" t="s">
        <v>456</v>
      </c>
      <c r="M7" s="101" t="s">
        <v>75</v>
      </c>
    </row>
    <row r="8" spans="1:17" ht="15.75" thickBot="1" x14ac:dyDescent="0.3">
      <c r="A8" s="106">
        <v>1</v>
      </c>
      <c r="B8" s="625" t="s">
        <v>232</v>
      </c>
      <c r="C8" s="625"/>
      <c r="D8" s="625"/>
      <c r="E8" s="625"/>
      <c r="F8" s="625"/>
      <c r="G8" s="625"/>
      <c r="H8" s="625"/>
      <c r="I8" s="626"/>
      <c r="M8" s="101" t="s">
        <v>71</v>
      </c>
    </row>
    <row r="9" spans="1:17" ht="76.5" x14ac:dyDescent="0.25">
      <c r="A9" s="109">
        <v>1.1000000000000001</v>
      </c>
      <c r="B9" s="110" t="s">
        <v>457</v>
      </c>
      <c r="C9" s="111" t="s">
        <v>80</v>
      </c>
      <c r="D9" s="136">
        <f>40*4</f>
        <v>160</v>
      </c>
      <c r="E9" s="137"/>
      <c r="F9" s="137">
        <v>2</v>
      </c>
      <c r="G9" s="138">
        <v>1</v>
      </c>
      <c r="H9" s="139">
        <f>IF(C9=$M$5,G9,IF(C9=$M$6,D9*G9,IF((C9=$M$7),D9*E9*G9,IF(C9=$M$8,D9*E9*F9*G9,G9))))</f>
        <v>160</v>
      </c>
      <c r="I9" s="128" t="s">
        <v>1129</v>
      </c>
      <c r="K9" s="119"/>
    </row>
    <row r="10" spans="1:17" ht="76.5" x14ac:dyDescent="0.25">
      <c r="A10" s="112">
        <v>1.2</v>
      </c>
      <c r="B10" s="107" t="s">
        <v>459</v>
      </c>
      <c r="C10" s="108" t="s">
        <v>75</v>
      </c>
      <c r="D10" s="140">
        <v>40</v>
      </c>
      <c r="E10" s="141">
        <v>40</v>
      </c>
      <c r="F10" s="141"/>
      <c r="G10" s="142">
        <v>1</v>
      </c>
      <c r="H10" s="143">
        <f>IF(C10=$M$5,G10,IF(C10=$M$6,D10*G10,IF((C10=$M$7),D10*E10*G10,IF(C10=$M$8,D10*E10*F10*G10,G10))))</f>
        <v>1600</v>
      </c>
      <c r="I10" s="121" t="s">
        <v>1129</v>
      </c>
      <c r="K10" s="119"/>
    </row>
    <row r="11" spans="1:17" ht="15.75" thickBot="1" x14ac:dyDescent="0.3">
      <c r="A11" s="113">
        <v>1.3</v>
      </c>
      <c r="B11" s="114" t="s">
        <v>7</v>
      </c>
      <c r="C11" s="115" t="s">
        <v>75</v>
      </c>
      <c r="D11" s="144">
        <v>40</v>
      </c>
      <c r="E11" s="145">
        <v>40</v>
      </c>
      <c r="F11" s="145">
        <v>0.25</v>
      </c>
      <c r="G11" s="146">
        <v>1</v>
      </c>
      <c r="H11" s="147">
        <f>IF(C11=$M$5,G11,IF(C11=$M$6,D11*G11,IF((C11=$M$7),D11*E11*G11,IF(C11=$M$8,D11*E11*F11*G11,G11))))</f>
        <v>1600</v>
      </c>
      <c r="I11" s="126" t="s">
        <v>1129</v>
      </c>
    </row>
    <row r="12" spans="1:17" ht="15.75" thickBot="1" x14ac:dyDescent="0.3">
      <c r="A12" s="106">
        <v>2</v>
      </c>
      <c r="B12" s="625" t="s">
        <v>460</v>
      </c>
      <c r="C12" s="625"/>
      <c r="D12" s="625"/>
      <c r="E12" s="625"/>
      <c r="F12" s="625"/>
      <c r="G12" s="625"/>
      <c r="H12" s="625"/>
      <c r="I12" s="626"/>
    </row>
    <row r="13" spans="1:17" x14ac:dyDescent="0.25">
      <c r="A13" s="109">
        <v>2.1</v>
      </c>
      <c r="B13" s="110" t="s">
        <v>8</v>
      </c>
      <c r="C13" s="111" t="s">
        <v>71</v>
      </c>
      <c r="D13" s="136">
        <v>30</v>
      </c>
      <c r="E13" s="137">
        <v>30</v>
      </c>
      <c r="F13" s="137">
        <f>AVERAGE(0,0.8)</f>
        <v>0.4</v>
      </c>
      <c r="G13" s="138">
        <v>1</v>
      </c>
      <c r="H13" s="139">
        <f>IF(C13=$M$5,G13,IF(C13=$M$6,D13*G13,IF((C13=$M$7),D13*E13*G13,IF(C13=$M$8,D13*E13*F13*G13,G13))))</f>
        <v>360</v>
      </c>
      <c r="I13" s="128" t="s">
        <v>1129</v>
      </c>
    </row>
    <row r="14" spans="1:17" x14ac:dyDescent="0.25">
      <c r="A14" s="112">
        <v>2.2000000000000002</v>
      </c>
      <c r="B14" s="107" t="s">
        <v>567</v>
      </c>
      <c r="C14" s="108" t="s">
        <v>71</v>
      </c>
      <c r="D14" s="140">
        <v>30</v>
      </c>
      <c r="E14" s="141">
        <v>30</v>
      </c>
      <c r="F14" s="141">
        <v>0.25</v>
      </c>
      <c r="G14" s="142">
        <v>1</v>
      </c>
      <c r="H14" s="143">
        <f>IF(C14=$M$5,G14,IF(C14=$M$6,D14*G14,IF((C14=$M$7),D14*E14*G14,IF(C14=$M$8,D14*E14*F14*G14,G14))))</f>
        <v>225</v>
      </c>
      <c r="I14" s="121" t="s">
        <v>1129</v>
      </c>
    </row>
    <row r="15" spans="1:17" x14ac:dyDescent="0.25">
      <c r="A15" s="628">
        <v>2.2999999999999998</v>
      </c>
      <c r="B15" s="631" t="s">
        <v>312</v>
      </c>
      <c r="C15" s="606" t="s">
        <v>71</v>
      </c>
      <c r="D15" s="148">
        <v>1</v>
      </c>
      <c r="E15" s="149">
        <v>1</v>
      </c>
      <c r="F15" s="149">
        <v>0.78</v>
      </c>
      <c r="G15" s="150">
        <v>1</v>
      </c>
      <c r="H15" s="149">
        <f>IF(C15=$M$5,G15,IF(C15=$M$6,D15*G15,IF((C15=$M$7),D15*E15*G15,IF(C15=$M$8,D15*E15*F15*G15,G15))))</f>
        <v>0.78</v>
      </c>
      <c r="I15" s="123" t="s">
        <v>568</v>
      </c>
      <c r="O15" s="151"/>
      <c r="P15" s="151"/>
      <c r="Q15" s="151"/>
    </row>
    <row r="16" spans="1:17" x14ac:dyDescent="0.25">
      <c r="A16" s="628"/>
      <c r="B16" s="631"/>
      <c r="C16" s="606"/>
      <c r="D16" s="148">
        <v>1</v>
      </c>
      <c r="E16" s="149">
        <v>1</v>
      </c>
      <c r="F16" s="149">
        <v>0.88</v>
      </c>
      <c r="G16" s="142">
        <v>1</v>
      </c>
      <c r="H16" s="141">
        <f>IF(C15=$M$5,G16,IF(C15=$M$6,D16*G16,IF((C15=$M$7),D16*E16*G16,IF(C15=$M$8,D16*E16*F16*G16,G16))))</f>
        <v>0.88</v>
      </c>
      <c r="I16" s="123" t="s">
        <v>569</v>
      </c>
      <c r="O16" s="151"/>
      <c r="P16" s="151"/>
      <c r="Q16" s="151"/>
    </row>
    <row r="17" spans="1:17" x14ac:dyDescent="0.25">
      <c r="A17" s="628"/>
      <c r="B17" s="631"/>
      <c r="C17" s="606"/>
      <c r="D17" s="148">
        <v>1</v>
      </c>
      <c r="E17" s="149">
        <v>1</v>
      </c>
      <c r="F17" s="149">
        <v>0.65</v>
      </c>
      <c r="G17" s="142">
        <v>1</v>
      </c>
      <c r="H17" s="141">
        <f>IF(C15=$M$5,G17,IF(C15=$M$6,D17*G17,IF((C15=$M$7),D17*E17*G17,IF(C15=$M$8,D17*E17*F17*G17,G17))))</f>
        <v>0.65</v>
      </c>
      <c r="I17" s="123" t="s">
        <v>570</v>
      </c>
      <c r="O17" s="151"/>
      <c r="P17" s="151"/>
      <c r="Q17" s="151"/>
    </row>
    <row r="18" spans="1:17" x14ac:dyDescent="0.25">
      <c r="A18" s="628"/>
      <c r="B18" s="631"/>
      <c r="C18" s="606"/>
      <c r="D18" s="148">
        <v>1</v>
      </c>
      <c r="E18" s="149">
        <v>1</v>
      </c>
      <c r="F18" s="149">
        <v>0.74</v>
      </c>
      <c r="G18" s="142">
        <v>1</v>
      </c>
      <c r="H18" s="141">
        <f>IF(C15=$M$5,G18,IF(C15=$M$6,D18*G18,IF((C15=$M$7),D18*E18*G18,IF(C15=$M$8,D18*E18*F18*G18,G18))))</f>
        <v>0.74</v>
      </c>
      <c r="I18" s="123" t="s">
        <v>571</v>
      </c>
      <c r="O18" s="151"/>
      <c r="P18" s="151"/>
      <c r="Q18" s="151"/>
    </row>
    <row r="19" spans="1:17" x14ac:dyDescent="0.25">
      <c r="A19" s="628"/>
      <c r="B19" s="631"/>
      <c r="C19" s="606"/>
      <c r="D19" s="140">
        <v>120.72</v>
      </c>
      <c r="E19" s="141">
        <v>1</v>
      </c>
      <c r="F19" s="149">
        <v>0.64</v>
      </c>
      <c r="G19" s="142">
        <v>1</v>
      </c>
      <c r="H19" s="141">
        <f>IF(C15=$M$5,G19,IF(C15=$M$6,D19*G19,IF((C15=$M$7),D19*E19*G19,IF(C15=$M$8,D19*E19*F19*G19,G19))))</f>
        <v>77.260800000000003</v>
      </c>
      <c r="I19" s="121" t="s">
        <v>465</v>
      </c>
      <c r="O19" s="151"/>
      <c r="P19" s="151"/>
      <c r="Q19" s="151"/>
    </row>
    <row r="20" spans="1:17" x14ac:dyDescent="0.25">
      <c r="A20" s="628"/>
      <c r="B20" s="631"/>
      <c r="C20" s="606"/>
      <c r="D20" s="140">
        <v>1.4</v>
      </c>
      <c r="E20" s="141">
        <v>1.4</v>
      </c>
      <c r="F20" s="149">
        <v>1.07</v>
      </c>
      <c r="G20" s="142">
        <v>1</v>
      </c>
      <c r="H20" s="141">
        <f>IF(C15=$M$5,G20,IF(C15=$M$6,D20*G20,IF((C15=$M$7),D20*E20*G20,IF(C15=$M$8,D20*E20*F20*G20,G20))))</f>
        <v>2.0972</v>
      </c>
      <c r="I20" s="121" t="s">
        <v>572</v>
      </c>
      <c r="O20" s="151"/>
      <c r="P20" s="151"/>
      <c r="Q20" s="151"/>
    </row>
    <row r="21" spans="1:17" x14ac:dyDescent="0.25">
      <c r="A21" s="628"/>
      <c r="B21" s="631"/>
      <c r="C21" s="606"/>
      <c r="D21" s="140">
        <v>1.4</v>
      </c>
      <c r="E21" s="141">
        <v>1.4</v>
      </c>
      <c r="F21" s="149">
        <v>1.97</v>
      </c>
      <c r="G21" s="142">
        <v>1</v>
      </c>
      <c r="H21" s="141">
        <f>IF(C15=$M$5,G21,IF(C15=$M$6,D21*G21,IF((C15=$M$7),D21*E21*G21,IF(C15=$M$8,D21*E21*F21*G21,G21))))</f>
        <v>3.8611999999999993</v>
      </c>
      <c r="I21" s="121" t="s">
        <v>573</v>
      </c>
      <c r="O21" s="151"/>
      <c r="P21" s="151"/>
      <c r="Q21" s="151"/>
    </row>
    <row r="22" spans="1:17" x14ac:dyDescent="0.25">
      <c r="A22" s="628"/>
      <c r="B22" s="631"/>
      <c r="C22" s="606"/>
      <c r="D22" s="140">
        <v>2.2000000000000002</v>
      </c>
      <c r="E22" s="141">
        <v>1.1000000000000001</v>
      </c>
      <c r="F22" s="149">
        <v>0.4</v>
      </c>
      <c r="G22" s="142">
        <v>1</v>
      </c>
      <c r="H22" s="141">
        <f>IF(C15=$M$5,G22,IF(C15=$M$6,D22*G22,IF((C15=$M$7),D22*E22*G22,IF(C15=$M$8,D22*E22*F22*G22,G22))))</f>
        <v>0.96800000000000019</v>
      </c>
      <c r="I22" s="121" t="s">
        <v>509</v>
      </c>
      <c r="O22" s="151"/>
      <c r="P22" s="151"/>
      <c r="Q22" s="151"/>
    </row>
    <row r="23" spans="1:17" x14ac:dyDescent="0.25">
      <c r="A23" s="628"/>
      <c r="B23" s="631"/>
      <c r="C23" s="606"/>
      <c r="D23" s="140">
        <v>72.069999999999993</v>
      </c>
      <c r="E23" s="141">
        <v>1</v>
      </c>
      <c r="F23" s="149">
        <v>0.8</v>
      </c>
      <c r="G23" s="142">
        <v>1</v>
      </c>
      <c r="H23" s="141">
        <f>IF(C15=$M$5,G23,IF(C15=$M$6,D23*G23,IF((C15=$M$7),D23*E23*G23,IF(C15=$M$8,D23*E23*F23*G23,G23))))</f>
        <v>57.655999999999999</v>
      </c>
      <c r="I23" s="121" t="s">
        <v>464</v>
      </c>
      <c r="O23" s="151"/>
      <c r="P23" s="151"/>
      <c r="Q23" s="151"/>
    </row>
    <row r="24" spans="1:17" x14ac:dyDescent="0.25">
      <c r="A24" s="629"/>
      <c r="B24" s="632"/>
      <c r="C24" s="636"/>
      <c r="D24" s="633"/>
      <c r="E24" s="634"/>
      <c r="F24" s="634"/>
      <c r="G24" s="635"/>
      <c r="H24" s="143">
        <f>SUM(H15:H23)</f>
        <v>144.89320000000001</v>
      </c>
      <c r="I24" s="129" t="s">
        <v>461</v>
      </c>
    </row>
    <row r="25" spans="1:17" x14ac:dyDescent="0.25">
      <c r="A25" s="628">
        <v>2.4</v>
      </c>
      <c r="B25" s="631" t="s">
        <v>10</v>
      </c>
      <c r="C25" s="606" t="s">
        <v>71</v>
      </c>
      <c r="D25" s="148">
        <v>1.5999999999999999</v>
      </c>
      <c r="E25" s="149">
        <v>3</v>
      </c>
      <c r="F25" s="149">
        <v>0.7</v>
      </c>
      <c r="G25" s="150">
        <v>2</v>
      </c>
      <c r="H25" s="149">
        <f>IF(C25=$M$5,G25,IF(C25=$M$6,D25*G25,IF((C25=$M$7),D25*E25*G25,IF(C25=$M$8,D25*E25*F25*G25,G25))))</f>
        <v>6.72</v>
      </c>
      <c r="I25" s="123" t="s">
        <v>574</v>
      </c>
      <c r="O25" s="151"/>
      <c r="P25" s="151"/>
      <c r="Q25" s="151"/>
    </row>
    <row r="26" spans="1:17" ht="25.5" x14ac:dyDescent="0.25">
      <c r="A26" s="628"/>
      <c r="B26" s="631"/>
      <c r="C26" s="606"/>
      <c r="D26" s="140">
        <v>1.7</v>
      </c>
      <c r="E26" s="141">
        <v>1.7</v>
      </c>
      <c r="F26" s="149">
        <v>0.7</v>
      </c>
      <c r="G26" s="142">
        <v>7</v>
      </c>
      <c r="H26" s="141">
        <f>IF(C25=$M$5,G26,IF(C25=$M$6,D26*G26,IF((C25=$M$7),D26*E26*G26,IF(C25=$M$8,D26*E26*F26*G26,G26))))</f>
        <v>14.160999999999998</v>
      </c>
      <c r="I26" s="121" t="s">
        <v>575</v>
      </c>
      <c r="O26" s="151"/>
      <c r="P26" s="151"/>
      <c r="Q26" s="151"/>
    </row>
    <row r="27" spans="1:17" x14ac:dyDescent="0.25">
      <c r="A27" s="628"/>
      <c r="B27" s="631"/>
      <c r="C27" s="606"/>
      <c r="D27" s="140">
        <v>1.5999999999999999</v>
      </c>
      <c r="E27" s="141">
        <v>3</v>
      </c>
      <c r="F27" s="149">
        <v>0.7</v>
      </c>
      <c r="G27" s="142">
        <v>4</v>
      </c>
      <c r="H27" s="141">
        <f>IF(C25=$M$5,G27,IF(C25=$M$6,D27*G27,IF((C25=$M$7),D27*E27*G27,IF(C25=$M$8,D27*E27*F27*G27,G27))))</f>
        <v>13.44</v>
      </c>
      <c r="I27" s="121" t="s">
        <v>576</v>
      </c>
      <c r="O27" s="151"/>
      <c r="P27" s="151"/>
      <c r="Q27" s="151"/>
    </row>
    <row r="28" spans="1:17" x14ac:dyDescent="0.25">
      <c r="A28" s="628"/>
      <c r="B28" s="631"/>
      <c r="C28" s="606"/>
      <c r="D28" s="140">
        <v>1.7</v>
      </c>
      <c r="E28" s="141">
        <v>1.7</v>
      </c>
      <c r="F28" s="149">
        <v>0.7</v>
      </c>
      <c r="G28" s="142">
        <v>1</v>
      </c>
      <c r="H28" s="141">
        <f>IF(C25=$M$5,G28,IF(C25=$M$6,D28*G28,IF((C25=$M$7),D28*E28*G28,IF(C25=$M$8,D28*E28*F28*G28,G28))))</f>
        <v>2.0229999999999997</v>
      </c>
      <c r="I28" s="121" t="s">
        <v>577</v>
      </c>
      <c r="O28" s="151"/>
      <c r="P28" s="151"/>
      <c r="Q28" s="151"/>
    </row>
    <row r="29" spans="1:17" x14ac:dyDescent="0.25">
      <c r="A29" s="628"/>
      <c r="B29" s="631"/>
      <c r="C29" s="606"/>
      <c r="D29" s="140">
        <v>1.7</v>
      </c>
      <c r="E29" s="141">
        <v>1.7</v>
      </c>
      <c r="F29" s="149">
        <v>0.7</v>
      </c>
      <c r="G29" s="142">
        <v>1</v>
      </c>
      <c r="H29" s="141">
        <f>IF(C25=$M$5,G29,IF(C25=$M$6,D29*G29,IF((C25=$M$7),D29*E29*G29,IF(C25=$M$8,D29*E29*F29*G29,G29))))</f>
        <v>2.0229999999999997</v>
      </c>
      <c r="I29" s="121" t="s">
        <v>578</v>
      </c>
      <c r="O29" s="151"/>
      <c r="P29" s="151"/>
      <c r="Q29" s="151"/>
    </row>
    <row r="30" spans="1:17" x14ac:dyDescent="0.25">
      <c r="A30" s="628"/>
      <c r="B30" s="631"/>
      <c r="C30" s="606"/>
      <c r="D30" s="140">
        <v>1.7</v>
      </c>
      <c r="E30" s="141">
        <v>1.7</v>
      </c>
      <c r="F30" s="149">
        <v>0.7</v>
      </c>
      <c r="G30" s="142">
        <v>2</v>
      </c>
      <c r="H30" s="141">
        <f>IF(C25=$M$5,G30,IF(C25=$M$6,D30*G30,IF((C25=$M$7),D30*E30*G30,IF(C25=$M$8,D30*E30*F30*G30,G30))))</f>
        <v>4.0459999999999994</v>
      </c>
      <c r="I30" s="121" t="s">
        <v>579</v>
      </c>
      <c r="O30" s="151"/>
      <c r="P30" s="151"/>
      <c r="Q30" s="151"/>
    </row>
    <row r="31" spans="1:17" x14ac:dyDescent="0.25">
      <c r="A31" s="628"/>
      <c r="B31" s="631"/>
      <c r="C31" s="606"/>
      <c r="D31" s="140">
        <v>1.7</v>
      </c>
      <c r="E31" s="141">
        <v>1.7</v>
      </c>
      <c r="F31" s="149">
        <v>0.7</v>
      </c>
      <c r="G31" s="142">
        <v>2</v>
      </c>
      <c r="H31" s="141">
        <f>IF(C25=$M$5,G31,IF(C25=$M$6,D31*G31,IF((C25=$M$7),D31*E31*G31,IF(C25=$M$8,D31*E31*F31*G31,G31))))</f>
        <v>4.0459999999999994</v>
      </c>
      <c r="I31" s="121" t="s">
        <v>580</v>
      </c>
      <c r="O31" s="151"/>
      <c r="P31" s="151"/>
      <c r="Q31" s="151"/>
    </row>
    <row r="32" spans="1:17" x14ac:dyDescent="0.25">
      <c r="A32" s="628"/>
      <c r="B32" s="631"/>
      <c r="C32" s="606"/>
      <c r="D32" s="140">
        <v>1.7</v>
      </c>
      <c r="E32" s="141">
        <v>1.7</v>
      </c>
      <c r="F32" s="149">
        <v>0.7</v>
      </c>
      <c r="G32" s="142">
        <v>5</v>
      </c>
      <c r="H32" s="141">
        <f>IF(C25=$M$5,G32,IF(C25=$M$6,D32*G32,IF((C25=$M$7),D32*E32*G32,IF(C25=$M$8,D32*E32*F32*G32,G32))))</f>
        <v>10.114999999999998</v>
      </c>
      <c r="I32" s="121" t="s">
        <v>581</v>
      </c>
      <c r="O32" s="151"/>
      <c r="P32" s="151"/>
      <c r="Q32" s="151"/>
    </row>
    <row r="33" spans="1:17" x14ac:dyDescent="0.25">
      <c r="A33" s="628"/>
      <c r="B33" s="631"/>
      <c r="C33" s="606"/>
      <c r="D33" s="140">
        <v>2.4</v>
      </c>
      <c r="E33" s="141">
        <v>1.4</v>
      </c>
      <c r="F33" s="149">
        <v>0.7</v>
      </c>
      <c r="G33" s="142">
        <v>2</v>
      </c>
      <c r="H33" s="141">
        <f>IF(C25=$M$5,G33,IF(C25=$M$6,D33*G33,IF((C25=$M$7),D33*E33*G33,IF(C25=$M$8,D33*E33*F33*G33,G33))))</f>
        <v>4.7039999999999997</v>
      </c>
      <c r="I33" s="121" t="s">
        <v>582</v>
      </c>
      <c r="O33" s="151"/>
      <c r="P33" s="151"/>
      <c r="Q33" s="151"/>
    </row>
    <row r="34" spans="1:17" x14ac:dyDescent="0.25">
      <c r="A34" s="628"/>
      <c r="B34" s="631"/>
      <c r="C34" s="606"/>
      <c r="D34" s="140">
        <v>2.4</v>
      </c>
      <c r="E34" s="141">
        <v>1.4</v>
      </c>
      <c r="F34" s="149">
        <v>0.7</v>
      </c>
      <c r="G34" s="142">
        <v>4</v>
      </c>
      <c r="H34" s="141">
        <f>IF(C25=$M$5,G34,IF(C25=$M$6,D34*G34,IF((C25=$M$7),D34*E34*G34,IF(C25=$M$8,D34*E34*F34*G34,G34))))</f>
        <v>9.4079999999999995</v>
      </c>
      <c r="I34" s="121" t="s">
        <v>583</v>
      </c>
      <c r="O34" s="151"/>
      <c r="P34" s="151"/>
      <c r="Q34" s="151"/>
    </row>
    <row r="35" spans="1:17" x14ac:dyDescent="0.25">
      <c r="A35" s="628"/>
      <c r="B35" s="631"/>
      <c r="C35" s="606"/>
      <c r="D35" s="140">
        <v>1.7</v>
      </c>
      <c r="E35" s="141">
        <v>1</v>
      </c>
      <c r="F35" s="149">
        <v>0.7</v>
      </c>
      <c r="G35" s="142">
        <v>3</v>
      </c>
      <c r="H35" s="141">
        <f>IF(C25=$M$5,G35,IF(C25=$M$6,D35*G35,IF((C25=$M$7),D35*E35*G35,IF(C25=$M$8,D35*E35*F35*G35,G35))))</f>
        <v>3.57</v>
      </c>
      <c r="I35" s="121" t="s">
        <v>584</v>
      </c>
      <c r="O35" s="151"/>
      <c r="P35" s="151"/>
      <c r="Q35" s="151"/>
    </row>
    <row r="36" spans="1:17" x14ac:dyDescent="0.25">
      <c r="A36" s="628"/>
      <c r="B36" s="631"/>
      <c r="C36" s="606"/>
      <c r="D36" s="140">
        <v>1</v>
      </c>
      <c r="E36" s="141">
        <v>1</v>
      </c>
      <c r="F36" s="149">
        <v>0.7</v>
      </c>
      <c r="G36" s="142">
        <v>2</v>
      </c>
      <c r="H36" s="141">
        <f>IF(C25=$M$5,G36,IF(C25=$M$6,D36*G36,IF((C25=$M$7),D36*E36*G36,IF(C25=$M$8,D36*E36*F36*G36,G36))))</f>
        <v>1.4</v>
      </c>
      <c r="I36" s="121" t="s">
        <v>585</v>
      </c>
      <c r="O36" s="151"/>
      <c r="P36" s="151"/>
      <c r="Q36" s="151"/>
    </row>
    <row r="37" spans="1:17" x14ac:dyDescent="0.25">
      <c r="A37" s="629"/>
      <c r="B37" s="632"/>
      <c r="C37" s="636"/>
      <c r="D37" s="633"/>
      <c r="E37" s="634"/>
      <c r="F37" s="634"/>
      <c r="G37" s="635"/>
      <c r="H37" s="143">
        <f>SUM(H25:H36)</f>
        <v>75.655999999999977</v>
      </c>
      <c r="I37" s="129" t="s">
        <v>461</v>
      </c>
    </row>
    <row r="38" spans="1:17" ht="25.5" x14ac:dyDescent="0.25">
      <c r="A38" s="628">
        <v>2.5</v>
      </c>
      <c r="B38" s="631" t="s">
        <v>11</v>
      </c>
      <c r="C38" s="606" t="s">
        <v>71</v>
      </c>
      <c r="D38" s="148">
        <v>4.4000000000000004</v>
      </c>
      <c r="E38" s="149">
        <v>0.5</v>
      </c>
      <c r="F38" s="149">
        <v>0.7</v>
      </c>
      <c r="G38" s="150">
        <v>2</v>
      </c>
      <c r="H38" s="149">
        <f>IF(C38=$M$5,G38,IF(C38=$M$6,D38*G38,IF((C38=$M$7),D38*E38*G38,IF(C38=$M$8,D38*E38*F38*G38,G38))))</f>
        <v>3.08</v>
      </c>
      <c r="I38" s="123" t="s">
        <v>586</v>
      </c>
      <c r="K38" s="151"/>
    </row>
    <row r="39" spans="1:17" ht="25.5" x14ac:dyDescent="0.25">
      <c r="A39" s="628"/>
      <c r="B39" s="631"/>
      <c r="C39" s="606"/>
      <c r="D39" s="140">
        <v>1.52</v>
      </c>
      <c r="E39" s="149">
        <v>0.5</v>
      </c>
      <c r="F39" s="149">
        <v>0.7</v>
      </c>
      <c r="G39" s="142">
        <v>2</v>
      </c>
      <c r="H39" s="141">
        <f>IF(C38=$M$5,G39,IF(C38=$M$6,D39*G39,IF((C38=$M$7),D39*E39*G39,IF(C38=$M$8,D39*E39*F39*G39,G39))))</f>
        <v>1.0639999999999998</v>
      </c>
      <c r="I39" s="121" t="s">
        <v>587</v>
      </c>
      <c r="K39" s="151"/>
    </row>
    <row r="40" spans="1:17" x14ac:dyDescent="0.25">
      <c r="A40" s="628"/>
      <c r="B40" s="631"/>
      <c r="C40" s="606"/>
      <c r="D40" s="140">
        <v>2.6</v>
      </c>
      <c r="E40" s="149">
        <v>0.60000000000000009</v>
      </c>
      <c r="F40" s="149">
        <v>0.7</v>
      </c>
      <c r="G40" s="142">
        <v>1</v>
      </c>
      <c r="H40" s="141">
        <f>IF(C38=$M$5,G40,IF(C38=$M$6,D40*G40,IF((C38=$M$7),D40*E40*G40,IF(C38=$M$8,D40*E40*F40*G40,G40))))</f>
        <v>1.0920000000000001</v>
      </c>
      <c r="I40" s="121" t="s">
        <v>588</v>
      </c>
      <c r="K40" s="151"/>
    </row>
    <row r="41" spans="1:17" ht="51" x14ac:dyDescent="0.25">
      <c r="A41" s="628"/>
      <c r="B41" s="631"/>
      <c r="C41" s="606"/>
      <c r="D41" s="140">
        <v>2.4</v>
      </c>
      <c r="E41" s="149">
        <v>0.60000000000000009</v>
      </c>
      <c r="F41" s="149">
        <v>0.7</v>
      </c>
      <c r="G41" s="142">
        <v>5</v>
      </c>
      <c r="H41" s="141">
        <f>IF(C38=$M$5,G41,IF(C38=$M$6,D41*G41,IF((C38=$M$7),D41*E41*G41,IF(C38=$M$8,D41*E41*F41*G41,G41))))</f>
        <v>5.04</v>
      </c>
      <c r="I41" s="121" t="s">
        <v>589</v>
      </c>
      <c r="K41" s="151"/>
    </row>
    <row r="42" spans="1:17" ht="25.5" x14ac:dyDescent="0.25">
      <c r="A42" s="628"/>
      <c r="B42" s="631"/>
      <c r="C42" s="606"/>
      <c r="D42" s="140">
        <v>3.3</v>
      </c>
      <c r="E42" s="149">
        <v>0.5</v>
      </c>
      <c r="F42" s="149">
        <v>0.7</v>
      </c>
      <c r="G42" s="142">
        <v>2</v>
      </c>
      <c r="H42" s="141">
        <f>IF(C38=$M$5,G42,IF(C38=$M$6,D42*G42,IF((C38=$M$7),D42*E42*G42,IF(C38=$M$8,D42*E42*F42*G42,G42))))</f>
        <v>2.3099999999999996</v>
      </c>
      <c r="I42" s="121" t="s">
        <v>590</v>
      </c>
      <c r="K42" s="151"/>
    </row>
    <row r="43" spans="1:17" ht="25.5" x14ac:dyDescent="0.25">
      <c r="A43" s="628"/>
      <c r="B43" s="631"/>
      <c r="C43" s="606"/>
      <c r="D43" s="140">
        <v>0.6</v>
      </c>
      <c r="E43" s="149">
        <v>0.5</v>
      </c>
      <c r="F43" s="149">
        <v>0.7</v>
      </c>
      <c r="G43" s="142">
        <v>2</v>
      </c>
      <c r="H43" s="141">
        <f>IF(C38=$M$5,G43,IF(C38=$M$6,D43*G43,IF((C38=$M$7),D43*E43*G43,IF(C38=$M$8,D43*E43*F43*G43,G43))))</f>
        <v>0.42</v>
      </c>
      <c r="I43" s="121" t="s">
        <v>591</v>
      </c>
      <c r="K43" s="151"/>
    </row>
    <row r="44" spans="1:17" ht="25.5" x14ac:dyDescent="0.25">
      <c r="A44" s="628"/>
      <c r="B44" s="631"/>
      <c r="C44" s="606"/>
      <c r="D44" s="140">
        <v>4.5999999999999996</v>
      </c>
      <c r="E44" s="149">
        <v>0.5</v>
      </c>
      <c r="F44" s="149">
        <v>0.7</v>
      </c>
      <c r="G44" s="142">
        <v>3</v>
      </c>
      <c r="H44" s="141">
        <f>IF(C38=$M$5,G44,IF(C38=$M$6,D44*G44,IF((C38=$M$7),D44*E44*G44,IF(C38=$M$8,D44*E44*F44*G44,G44))))</f>
        <v>4.83</v>
      </c>
      <c r="I44" s="121" t="s">
        <v>592</v>
      </c>
      <c r="K44" s="151"/>
    </row>
    <row r="45" spans="1:17" ht="25.5" x14ac:dyDescent="0.25">
      <c r="A45" s="628"/>
      <c r="B45" s="631"/>
      <c r="C45" s="606"/>
      <c r="D45" s="140">
        <v>2.35</v>
      </c>
      <c r="E45" s="149">
        <v>0.5</v>
      </c>
      <c r="F45" s="149">
        <v>0.7</v>
      </c>
      <c r="G45" s="142">
        <v>2</v>
      </c>
      <c r="H45" s="141">
        <f>IF(C38=$M$5,G45,IF(C38=$M$6,D45*G45,IF((C38=$M$7),D45*E45*G45,IF(C38=$M$8,D45*E45*F45*G45,G45))))</f>
        <v>1.645</v>
      </c>
      <c r="I45" s="121" t="s">
        <v>593</v>
      </c>
      <c r="K45" s="151"/>
    </row>
    <row r="46" spans="1:17" ht="25.5" x14ac:dyDescent="0.25">
      <c r="A46" s="628"/>
      <c r="B46" s="631"/>
      <c r="C46" s="606"/>
      <c r="D46" s="140">
        <v>2.4</v>
      </c>
      <c r="E46" s="149">
        <v>0.5</v>
      </c>
      <c r="F46" s="149">
        <v>0.7</v>
      </c>
      <c r="G46" s="142">
        <v>2</v>
      </c>
      <c r="H46" s="141">
        <f>IF(C38=$M$5,G46,IF(C38=$M$6,D46*G46,IF((C38=$M$7),D46*E46*G46,IF(C38=$M$8,D46*E46*F46*G46,G46))))</f>
        <v>1.68</v>
      </c>
      <c r="I46" s="121" t="s">
        <v>594</v>
      </c>
      <c r="K46" s="151"/>
    </row>
    <row r="47" spans="1:17" x14ac:dyDescent="0.25">
      <c r="A47" s="628"/>
      <c r="B47" s="631"/>
      <c r="C47" s="606"/>
      <c r="D47" s="140">
        <v>2.8</v>
      </c>
      <c r="E47" s="149">
        <v>0.60000000000000009</v>
      </c>
      <c r="F47" s="149">
        <v>0.7</v>
      </c>
      <c r="G47" s="142">
        <v>1</v>
      </c>
      <c r="H47" s="141">
        <f>IF(C38=$M$5,G47,IF(C38=$M$6,D47*G47,IF((C38=$M$7),D47*E47*G47,IF(C38=$M$8,D47*E47*F47*G47,G47))))</f>
        <v>1.1759999999999999</v>
      </c>
      <c r="I47" s="121" t="s">
        <v>595</v>
      </c>
      <c r="K47" s="151"/>
    </row>
    <row r="48" spans="1:17" ht="25.5" x14ac:dyDescent="0.25">
      <c r="A48" s="628"/>
      <c r="B48" s="631"/>
      <c r="C48" s="606"/>
      <c r="D48" s="140">
        <v>2.5</v>
      </c>
      <c r="E48" s="149">
        <v>0.5</v>
      </c>
      <c r="F48" s="149">
        <v>0.7</v>
      </c>
      <c r="G48" s="142">
        <v>2</v>
      </c>
      <c r="H48" s="141">
        <f>IF(C38=$M$5,G48,IF(C38=$M$6,D48*G48,IF((C38=$M$7),D48*E48*G48,IF(C38=$M$8,D48*E48*F48*G48,G48))))</f>
        <v>1.75</v>
      </c>
      <c r="I48" s="121" t="s">
        <v>596</v>
      </c>
      <c r="K48" s="151"/>
    </row>
    <row r="49" spans="1:11" ht="25.5" x14ac:dyDescent="0.25">
      <c r="A49" s="628"/>
      <c r="B49" s="631"/>
      <c r="C49" s="606"/>
      <c r="D49" s="140">
        <v>0.55000000000000004</v>
      </c>
      <c r="E49" s="149">
        <v>0.5</v>
      </c>
      <c r="F49" s="149">
        <v>0.7</v>
      </c>
      <c r="G49" s="142">
        <v>2</v>
      </c>
      <c r="H49" s="141">
        <f>IF(C38=$M$5,G49,IF(C38=$M$6,D49*G49,IF((C38=$M$7),D49*E49*G49,IF(C38=$M$8,D49*E49*F49*G49,G49))))</f>
        <v>0.38500000000000001</v>
      </c>
      <c r="I49" s="121" t="s">
        <v>597</v>
      </c>
      <c r="K49" s="151"/>
    </row>
    <row r="50" spans="1:11" x14ac:dyDescent="0.25">
      <c r="A50" s="628"/>
      <c r="B50" s="631"/>
      <c r="C50" s="606"/>
      <c r="D50" s="140">
        <v>2.79</v>
      </c>
      <c r="E50" s="149">
        <v>0.60000000000000009</v>
      </c>
      <c r="F50" s="149">
        <v>0.7</v>
      </c>
      <c r="G50" s="142">
        <v>1</v>
      </c>
      <c r="H50" s="141">
        <f>IF(C38=$M$5,G50,IF(C38=$M$6,D50*G50,IF((C38=$M$7),D50*E50*G50,IF(C38=$M$8,D50*E50*F50*G50,G50))))</f>
        <v>1.1718000000000002</v>
      </c>
      <c r="I50" s="121" t="s">
        <v>598</v>
      </c>
      <c r="K50" s="151"/>
    </row>
    <row r="51" spans="1:11" ht="38.25" x14ac:dyDescent="0.25">
      <c r="A51" s="628"/>
      <c r="B51" s="631"/>
      <c r="C51" s="606"/>
      <c r="D51" s="140">
        <v>4.5</v>
      </c>
      <c r="E51" s="149">
        <v>0.5</v>
      </c>
      <c r="F51" s="149">
        <v>0.7</v>
      </c>
      <c r="G51" s="142">
        <v>3</v>
      </c>
      <c r="H51" s="141">
        <f>IF(C38=$M$5,G51,IF(C38=$M$6,D51*G51,IF((C38=$M$7),D51*E51*G51,IF(C38=$M$8,D51*E51*F51*G51,G51))))</f>
        <v>4.7249999999999996</v>
      </c>
      <c r="I51" s="121" t="s">
        <v>599</v>
      </c>
      <c r="K51" s="151"/>
    </row>
    <row r="52" spans="1:11" x14ac:dyDescent="0.25">
      <c r="A52" s="628"/>
      <c r="B52" s="631"/>
      <c r="C52" s="606"/>
      <c r="D52" s="140">
        <v>3.5</v>
      </c>
      <c r="E52" s="149">
        <v>0.5</v>
      </c>
      <c r="F52" s="149">
        <v>0.7</v>
      </c>
      <c r="G52" s="142">
        <v>1</v>
      </c>
      <c r="H52" s="141">
        <f>IF(C38=$M$5,G52,IF(C38=$M$6,D52*G52,IF((C38=$M$7),D52*E52*G52,IF(C38=$M$8,D52*E52*F52*G52,G52))))</f>
        <v>1.2249999999999999</v>
      </c>
      <c r="I52" s="121" t="s">
        <v>600</v>
      </c>
      <c r="K52" s="151"/>
    </row>
    <row r="53" spans="1:11" ht="25.5" x14ac:dyDescent="0.25">
      <c r="A53" s="628"/>
      <c r="B53" s="631"/>
      <c r="C53" s="606"/>
      <c r="D53" s="140">
        <v>1.5</v>
      </c>
      <c r="E53" s="149">
        <v>0.5</v>
      </c>
      <c r="F53" s="149">
        <v>0.7</v>
      </c>
      <c r="G53" s="142">
        <v>2</v>
      </c>
      <c r="H53" s="141">
        <f>IF(C38=$M$5,G53,IF(C38=$M$6,D53*G53,IF((C38=$M$7),D53*E53*G53,IF(C38=$M$8,D53*E53*F53*G53,G53))))</f>
        <v>1.0499999999999998</v>
      </c>
      <c r="I53" s="121" t="s">
        <v>601</v>
      </c>
      <c r="K53" s="151"/>
    </row>
    <row r="54" spans="1:11" x14ac:dyDescent="0.25">
      <c r="A54" s="628"/>
      <c r="B54" s="631"/>
      <c r="C54" s="606"/>
      <c r="D54" s="140">
        <v>1.03</v>
      </c>
      <c r="E54" s="149">
        <v>0.5</v>
      </c>
      <c r="F54" s="149">
        <v>0.7</v>
      </c>
      <c r="G54" s="142">
        <v>1</v>
      </c>
      <c r="H54" s="141">
        <f>IF(C38=$M$5,G54,IF(C38=$M$6,D54*G54,IF((C38=$M$7),D54*E54*G54,IF(C38=$M$8,D54*E54*F54*G54,G54))))</f>
        <v>0.36049999999999999</v>
      </c>
      <c r="I54" s="121" t="s">
        <v>602</v>
      </c>
      <c r="K54" s="151"/>
    </row>
    <row r="55" spans="1:11" ht="38.25" x14ac:dyDescent="0.25">
      <c r="A55" s="628"/>
      <c r="B55" s="631"/>
      <c r="C55" s="606"/>
      <c r="D55" s="140">
        <v>1.05</v>
      </c>
      <c r="E55" s="149">
        <v>0.5</v>
      </c>
      <c r="F55" s="149">
        <v>0.7</v>
      </c>
      <c r="G55" s="142">
        <v>4</v>
      </c>
      <c r="H55" s="141">
        <f>IF(C38=$M$5,G55,IF(C38=$M$6,D55*G55,IF((C38=$M$7),D55*E55*G55,IF(C38=$M$8,D55*E55*F55*G55,G55))))</f>
        <v>1.47</v>
      </c>
      <c r="I55" s="121" t="s">
        <v>603</v>
      </c>
      <c r="K55" s="151"/>
    </row>
    <row r="56" spans="1:11" ht="38.25" x14ac:dyDescent="0.25">
      <c r="A56" s="628"/>
      <c r="B56" s="631"/>
      <c r="C56" s="606"/>
      <c r="D56" s="140">
        <v>2.5499999999999998</v>
      </c>
      <c r="E56" s="149">
        <v>0.5</v>
      </c>
      <c r="F56" s="149">
        <v>0.7</v>
      </c>
      <c r="G56" s="142">
        <v>4</v>
      </c>
      <c r="H56" s="141">
        <f>IF(C38=$M$5,G56,IF(C38=$M$6,D56*G56,IF((C38=$M$7),D56*E56*G56,IF(C38=$M$8,D56*E56*F56*G56,G56))))</f>
        <v>3.5699999999999994</v>
      </c>
      <c r="I56" s="121" t="s">
        <v>604</v>
      </c>
      <c r="K56" s="151"/>
    </row>
    <row r="57" spans="1:11" x14ac:dyDescent="0.25">
      <c r="A57" s="628"/>
      <c r="B57" s="631"/>
      <c r="C57" s="606"/>
      <c r="D57" s="140">
        <v>1.08</v>
      </c>
      <c r="E57" s="149">
        <v>0.5</v>
      </c>
      <c r="F57" s="149">
        <v>0.7</v>
      </c>
      <c r="G57" s="142">
        <v>1</v>
      </c>
      <c r="H57" s="141">
        <f>IF(C38=$M$5,G57,IF(C38=$M$6,D57*G57,IF((C38=$M$7),D57*E57*G57,IF(C38=$M$8,D57*E57*F57*G57,G57))))</f>
        <v>0.378</v>
      </c>
      <c r="I57" s="121" t="s">
        <v>605</v>
      </c>
      <c r="K57" s="151"/>
    </row>
    <row r="58" spans="1:11" ht="25.5" x14ac:dyDescent="0.25">
      <c r="A58" s="628"/>
      <c r="B58" s="631"/>
      <c r="C58" s="606"/>
      <c r="D58" s="140">
        <v>1.48</v>
      </c>
      <c r="E58" s="149">
        <v>0.5</v>
      </c>
      <c r="F58" s="149">
        <v>0.7</v>
      </c>
      <c r="G58" s="142">
        <v>2</v>
      </c>
      <c r="H58" s="141">
        <f>IF(C38=$M$5,G58,IF(C38=$M$6,D58*G58,IF((C38=$M$7),D58*E58*G58,IF(C38=$M$8,D58*E58*F58*G58,G58))))</f>
        <v>1.036</v>
      </c>
      <c r="I58" s="121" t="s">
        <v>606</v>
      </c>
      <c r="K58" s="151"/>
    </row>
    <row r="59" spans="1:11" x14ac:dyDescent="0.25">
      <c r="A59" s="628"/>
      <c r="B59" s="631"/>
      <c r="C59" s="606"/>
      <c r="D59" s="140">
        <v>3.5</v>
      </c>
      <c r="E59" s="149">
        <v>0.5</v>
      </c>
      <c r="F59" s="149">
        <v>0.7</v>
      </c>
      <c r="G59" s="142">
        <v>1</v>
      </c>
      <c r="H59" s="141">
        <f>IF(C38=$M$5,G59,IF(C38=$M$6,D59*G59,IF((C38=$M$7),D59*E59*G59,IF(C38=$M$8,D59*E59*F59*G59,G59))))</f>
        <v>1.2249999999999999</v>
      </c>
      <c r="I59" s="121" t="s">
        <v>607</v>
      </c>
      <c r="K59" s="151"/>
    </row>
    <row r="60" spans="1:11" x14ac:dyDescent="0.25">
      <c r="A60" s="629"/>
      <c r="B60" s="632"/>
      <c r="C60" s="636"/>
      <c r="D60" s="633"/>
      <c r="E60" s="634"/>
      <c r="F60" s="634"/>
      <c r="G60" s="635"/>
      <c r="H60" s="143">
        <f>SUM(H38:H59)</f>
        <v>40.683300000000003</v>
      </c>
      <c r="I60" s="129" t="s">
        <v>461</v>
      </c>
    </row>
    <row r="61" spans="1:11" ht="25.5" x14ac:dyDescent="0.25">
      <c r="A61" s="628">
        <v>2.6</v>
      </c>
      <c r="B61" s="631" t="s">
        <v>12</v>
      </c>
      <c r="C61" s="606" t="s">
        <v>71</v>
      </c>
      <c r="D61" s="148">
        <v>3.82</v>
      </c>
      <c r="E61" s="149">
        <v>0.3</v>
      </c>
      <c r="F61" s="149">
        <v>0.4</v>
      </c>
      <c r="G61" s="150">
        <v>1</v>
      </c>
      <c r="H61" s="149">
        <f>IF(C61=$M$5,G61,IF(C61=$M$6,D61*G61,IF((C61=$M$7),D61*E61*G61,IF(C61=$M$8,D61*E61*F61*G61,G61))))</f>
        <v>0.45839999999999997</v>
      </c>
      <c r="I61" s="123" t="s">
        <v>677</v>
      </c>
      <c r="K61" s="155"/>
    </row>
    <row r="62" spans="1:11" ht="25.5" x14ac:dyDescent="0.25">
      <c r="A62" s="628"/>
      <c r="B62" s="631"/>
      <c r="C62" s="606"/>
      <c r="D62" s="140">
        <v>16.2</v>
      </c>
      <c r="E62" s="149">
        <v>0.3</v>
      </c>
      <c r="F62" s="149">
        <v>0.4</v>
      </c>
      <c r="G62" s="142">
        <v>1</v>
      </c>
      <c r="H62" s="141">
        <f>IF(C61=$M$5,G62,IF(C61=$M$6,D62*G62,IF((C61=$M$7),D62*E62*G62,IF(C61=$M$8,D62*E62*F62*G62,G62))))</f>
        <v>1.944</v>
      </c>
      <c r="I62" s="123" t="s">
        <v>678</v>
      </c>
      <c r="K62" s="155"/>
    </row>
    <row r="63" spans="1:11" x14ac:dyDescent="0.25">
      <c r="A63" s="628"/>
      <c r="B63" s="631"/>
      <c r="C63" s="606"/>
      <c r="D63" s="140">
        <v>4.76</v>
      </c>
      <c r="E63" s="141">
        <v>0.3</v>
      </c>
      <c r="F63" s="141">
        <v>0.4</v>
      </c>
      <c r="G63" s="142">
        <v>1</v>
      </c>
      <c r="H63" s="141">
        <f>IF(C61=$M$5,G63,IF(C61=$M$6,D63*G63,IF((C61=$M$7),D63*E63*G63,IF(C61=$M$8,D63*E63*F63*G63,G63))))</f>
        <v>0.57120000000000004</v>
      </c>
      <c r="I63" s="121" t="s">
        <v>469</v>
      </c>
      <c r="K63" s="155"/>
    </row>
    <row r="64" spans="1:11" x14ac:dyDescent="0.25">
      <c r="A64" s="628"/>
      <c r="B64" s="631"/>
      <c r="C64" s="606"/>
      <c r="D64" s="148">
        <v>3.91</v>
      </c>
      <c r="E64" s="149">
        <v>0.3</v>
      </c>
      <c r="F64" s="149">
        <v>0.4</v>
      </c>
      <c r="G64" s="150">
        <v>1</v>
      </c>
      <c r="H64" s="149">
        <f>IF(C61=$M$5,G64,IF(C61=$M$6,D64*G64,IF((C61=$M$7),D64*E64*G64,IF(C61=$M$8,D64*E64*F64*G64,G64))))</f>
        <v>0.46920000000000006</v>
      </c>
      <c r="I64" s="123" t="s">
        <v>469</v>
      </c>
      <c r="K64" s="155"/>
    </row>
    <row r="65" spans="1:11" x14ac:dyDescent="0.25">
      <c r="A65" s="628"/>
      <c r="B65" s="631"/>
      <c r="C65" s="606"/>
      <c r="D65" s="140">
        <v>179.69</v>
      </c>
      <c r="E65" s="149">
        <v>0.5</v>
      </c>
      <c r="F65" s="149">
        <v>0.8</v>
      </c>
      <c r="G65" s="142">
        <v>1</v>
      </c>
      <c r="H65" s="149">
        <f>IF(C61=$M$5,G65,IF(C61=$M$6,D65*G65,IF((C61=$M$7),D65*E65*G65,IF(C61=$M$8,D65*E65*F65*G65,G65))))</f>
        <v>71.876000000000005</v>
      </c>
      <c r="I65" s="121" t="s">
        <v>679</v>
      </c>
      <c r="K65" s="155"/>
    </row>
    <row r="66" spans="1:11" ht="25.5" x14ac:dyDescent="0.25">
      <c r="A66" s="628"/>
      <c r="B66" s="631"/>
      <c r="C66" s="606"/>
      <c r="D66" s="140">
        <v>37.36</v>
      </c>
      <c r="E66" s="149">
        <v>0.3</v>
      </c>
      <c r="F66" s="149">
        <v>0.4</v>
      </c>
      <c r="G66" s="142">
        <v>1</v>
      </c>
      <c r="H66" s="149">
        <f>IF(C61=$M$5,G66,IF(C61=$M$6,D66*G66,IF((C61=$M$7),D66*E66*G66,IF(C61=$M$8,D66*E66*F66*G66,G66))))</f>
        <v>4.4832000000000001</v>
      </c>
      <c r="I66" s="121" t="s">
        <v>680</v>
      </c>
      <c r="K66" s="155"/>
    </row>
    <row r="67" spans="1:11" ht="25.5" x14ac:dyDescent="0.25">
      <c r="A67" s="628"/>
      <c r="B67" s="631"/>
      <c r="C67" s="606"/>
      <c r="D67" s="140">
        <v>10.31</v>
      </c>
      <c r="E67" s="149">
        <v>0.3</v>
      </c>
      <c r="F67" s="149">
        <v>0.4</v>
      </c>
      <c r="G67" s="142">
        <v>1</v>
      </c>
      <c r="H67" s="149">
        <f>IF(C61=$M$5,G67,IF(C61=$M$6,D67*G67,IF((C61=$M$7),D67*E67*G67,IF(C61=$M$8,D67*E67*F67*G67,G67))))</f>
        <v>1.2372000000000001</v>
      </c>
      <c r="I67" s="121" t="s">
        <v>681</v>
      </c>
      <c r="K67" s="155"/>
    </row>
    <row r="68" spans="1:11" ht="25.5" x14ac:dyDescent="0.25">
      <c r="A68" s="628"/>
      <c r="B68" s="631"/>
      <c r="C68" s="606"/>
      <c r="D68" s="140">
        <v>21.79</v>
      </c>
      <c r="E68" s="149">
        <v>0.3</v>
      </c>
      <c r="F68" s="149">
        <v>0.4</v>
      </c>
      <c r="G68" s="142">
        <v>1</v>
      </c>
      <c r="H68" s="149">
        <f>IF(C61=$M$5,G68,IF(C61=$M$6,D68*G68,IF((C61=$M$7),D68*E68*G68,IF(C61=$M$8,D68*E68*F68*G68,G68))))</f>
        <v>2.6148000000000002</v>
      </c>
      <c r="I68" s="121" t="s">
        <v>682</v>
      </c>
      <c r="K68" s="155"/>
    </row>
    <row r="69" spans="1:11" ht="25.5" x14ac:dyDescent="0.25">
      <c r="A69" s="628"/>
      <c r="B69" s="631"/>
      <c r="C69" s="606"/>
      <c r="D69" s="140">
        <v>4.96</v>
      </c>
      <c r="E69" s="149">
        <v>0.3</v>
      </c>
      <c r="F69" s="149">
        <v>0.4</v>
      </c>
      <c r="G69" s="142">
        <v>1</v>
      </c>
      <c r="H69" s="149">
        <f>IF(C61=$M$5,G69,IF(C61=$M$6,D69*G69,IF((C61=$M$7),D69*E69*G69,IF(C61=$M$8,D69*E69*F69*G69,G69))))</f>
        <v>0.59520000000000006</v>
      </c>
      <c r="I69" s="121" t="s">
        <v>683</v>
      </c>
      <c r="K69" s="151"/>
    </row>
    <row r="70" spans="1:11" ht="25.5" x14ac:dyDescent="0.25">
      <c r="A70" s="628"/>
      <c r="B70" s="631"/>
      <c r="C70" s="606"/>
      <c r="D70" s="140">
        <v>33.06</v>
      </c>
      <c r="E70" s="149">
        <v>0.3</v>
      </c>
      <c r="F70" s="149">
        <v>0.4</v>
      </c>
      <c r="G70" s="142">
        <v>1</v>
      </c>
      <c r="H70" s="149">
        <f>IF(C61=$M$5,G70,IF(C61=$M$6,D70*G70,IF((C61=$M$7),D70*E70*G70,IF(C61=$M$8,D70*E70*F70*G70,G70))))</f>
        <v>3.9672000000000005</v>
      </c>
      <c r="I70" s="121" t="s">
        <v>684</v>
      </c>
      <c r="K70" s="151"/>
    </row>
    <row r="71" spans="1:11" x14ac:dyDescent="0.25">
      <c r="A71" s="628"/>
      <c r="B71" s="631"/>
      <c r="C71" s="606"/>
      <c r="D71" s="148">
        <v>73.489999999999995</v>
      </c>
      <c r="E71" s="149">
        <v>0.5</v>
      </c>
      <c r="F71" s="149">
        <v>1.87</v>
      </c>
      <c r="G71" s="142">
        <v>1</v>
      </c>
      <c r="H71" s="141">
        <f>IF(C61=$M$5,G71,IF(C61=$M$6,D71*G71,IF((C61=$M$7),D71*E71*G71,IF(C61=$M$8,D71*E71*F71*G71,G71))))</f>
        <v>68.713149999999999</v>
      </c>
      <c r="I71" s="123" t="s">
        <v>648</v>
      </c>
      <c r="K71" s="151"/>
    </row>
    <row r="72" spans="1:11" x14ac:dyDescent="0.25">
      <c r="A72" s="628"/>
      <c r="B72" s="631"/>
      <c r="C72" s="606"/>
      <c r="D72" s="140">
        <v>13.13</v>
      </c>
      <c r="E72" s="149">
        <v>0.5</v>
      </c>
      <c r="F72" s="149">
        <v>2.54</v>
      </c>
      <c r="G72" s="142">
        <v>1</v>
      </c>
      <c r="H72" s="141">
        <f>IF(C61=$M$5,G72,IF(C61=$M$6,D72*G72,IF((C61=$M$7),D72*E72*G72,IF(C61=$M$8,D72*E72*F72*G72,G72))))</f>
        <v>16.6751</v>
      </c>
      <c r="I72" s="121" t="s">
        <v>649</v>
      </c>
      <c r="K72" s="151"/>
    </row>
    <row r="73" spans="1:11" x14ac:dyDescent="0.25">
      <c r="A73" s="628"/>
      <c r="B73" s="631"/>
      <c r="C73" s="606"/>
      <c r="D73" s="148">
        <v>1.63</v>
      </c>
      <c r="E73" s="149">
        <v>0.4</v>
      </c>
      <c r="F73" s="149">
        <v>1</v>
      </c>
      <c r="G73" s="150">
        <v>2</v>
      </c>
      <c r="H73" s="141">
        <f>IF(C61=$M$5,G73,IF(C61=$M$6,D73*G73,IF((C61=$M$7),D73*E73*G73,IF(C61=$M$8,D73*E73*F73*G73,G73))))</f>
        <v>1.304</v>
      </c>
      <c r="I73" s="121" t="s">
        <v>495</v>
      </c>
      <c r="K73" s="151"/>
    </row>
    <row r="74" spans="1:11" x14ac:dyDescent="0.25">
      <c r="A74" s="628"/>
      <c r="B74" s="631"/>
      <c r="C74" s="606"/>
      <c r="D74" s="140">
        <v>149.41</v>
      </c>
      <c r="E74" s="149">
        <v>0.4</v>
      </c>
      <c r="F74" s="149">
        <v>1</v>
      </c>
      <c r="G74" s="142">
        <v>1</v>
      </c>
      <c r="H74" s="141">
        <f>IF(C61=$M$5,G74,IF(C61=$M$6,D74*G74,IF((C61=$M$7),D74*E74*G74,IF(C61=$M$8,D74*E74*F74*G74,G74))))</f>
        <v>59.764000000000003</v>
      </c>
      <c r="I74" s="121" t="s">
        <v>495</v>
      </c>
      <c r="K74" s="151"/>
    </row>
    <row r="75" spans="1:11" x14ac:dyDescent="0.25">
      <c r="A75" s="628"/>
      <c r="B75" s="631"/>
      <c r="C75" s="606"/>
      <c r="D75" s="140">
        <v>3.1320000000000001</v>
      </c>
      <c r="E75" s="149">
        <v>0.4</v>
      </c>
      <c r="F75" s="149">
        <v>1</v>
      </c>
      <c r="G75" s="142">
        <v>2</v>
      </c>
      <c r="H75" s="141">
        <f>IF(C61=$M$5,G75,IF(C61=$M$6,D75*G75,IF((C61=$M$7),D75*E75*G75,IF(C61=$M$8,D75*E75*F75*G75,G75))))</f>
        <v>2.5056000000000003</v>
      </c>
      <c r="I75" s="121" t="s">
        <v>495</v>
      </c>
      <c r="K75" s="151"/>
    </row>
    <row r="76" spans="1:11" x14ac:dyDescent="0.25">
      <c r="A76" s="628"/>
      <c r="B76" s="631"/>
      <c r="C76" s="606"/>
      <c r="D76" s="140">
        <v>117.52</v>
      </c>
      <c r="E76" s="149">
        <v>0.4</v>
      </c>
      <c r="F76" s="149">
        <v>1</v>
      </c>
      <c r="G76" s="142">
        <v>1</v>
      </c>
      <c r="H76" s="141">
        <f>IF(C61=$M$5,G76,IF(C61=$M$6,D76*G76,IF((C61=$M$7),D76*E76*G76,IF(C61=$M$8,D76*E76*F76*G76,G76))))</f>
        <v>47.008000000000003</v>
      </c>
      <c r="I76" s="121" t="s">
        <v>495</v>
      </c>
      <c r="K76" s="151"/>
    </row>
    <row r="77" spans="1:11" x14ac:dyDescent="0.25">
      <c r="A77" s="628"/>
      <c r="B77" s="631"/>
      <c r="C77" s="606"/>
      <c r="D77" s="148">
        <v>35.869999999999997</v>
      </c>
      <c r="E77" s="149">
        <v>0.4</v>
      </c>
      <c r="F77" s="149">
        <v>1.33</v>
      </c>
      <c r="G77" s="142">
        <v>1</v>
      </c>
      <c r="H77" s="141">
        <f>IF(C61=$M$5,G77,IF(C61=$M$6,D77*G77,IF((C61=$M$7),D77*E77*G77,IF(C61=$M$8,D77*E77*F77*G77,G77))))</f>
        <v>19.082840000000001</v>
      </c>
      <c r="I77" s="123" t="s">
        <v>639</v>
      </c>
      <c r="K77" s="151"/>
    </row>
    <row r="78" spans="1:11" x14ac:dyDescent="0.25">
      <c r="A78" s="628"/>
      <c r="B78" s="631"/>
      <c r="C78" s="606"/>
      <c r="D78" s="140">
        <v>18.25</v>
      </c>
      <c r="E78" s="149">
        <v>0.4</v>
      </c>
      <c r="F78" s="149">
        <v>1.33</v>
      </c>
      <c r="G78" s="142">
        <v>1</v>
      </c>
      <c r="H78" s="141">
        <f>IF(C61=$M$5,G78,IF(C61=$M$6,D78*G78,IF((C61=$M$7),D78*E78*G78,IF(C61=$M$8,D78*E78*F78*G78,G78))))</f>
        <v>9.7090000000000014</v>
      </c>
      <c r="I78" s="123" t="s">
        <v>640</v>
      </c>
      <c r="K78" s="151"/>
    </row>
    <row r="79" spans="1:11" x14ac:dyDescent="0.25">
      <c r="A79" s="628"/>
      <c r="B79" s="631"/>
      <c r="C79" s="606"/>
      <c r="D79" s="140">
        <v>5.0199999999999996</v>
      </c>
      <c r="E79" s="149">
        <v>0.4</v>
      </c>
      <c r="F79" s="149">
        <v>0.5</v>
      </c>
      <c r="G79" s="142">
        <v>1</v>
      </c>
      <c r="H79" s="141">
        <f>IF(C61=$M$5,G79,IF(C61=$M$6,D79*G79,IF((C61=$M$7),D79*E79*G79,IF(C61=$M$8,D79*E79*F79*G79,G79))))</f>
        <v>1.004</v>
      </c>
      <c r="I79" s="123" t="s">
        <v>641</v>
      </c>
      <c r="K79" s="151"/>
    </row>
    <row r="80" spans="1:11" x14ac:dyDescent="0.25">
      <c r="A80" s="628"/>
      <c r="B80" s="631"/>
      <c r="C80" s="606"/>
      <c r="D80" s="140">
        <v>1.18</v>
      </c>
      <c r="E80" s="149">
        <v>0.4</v>
      </c>
      <c r="F80" s="149">
        <v>1.1000000000000001</v>
      </c>
      <c r="G80" s="142">
        <v>1</v>
      </c>
      <c r="H80" s="141">
        <f>IF(C61=$M$5,G80,IF(C61=$M$6,D80*G80,IF((C61=$M$7),D80*E80*G80,IF(C61=$M$8,D80*E80*F80*G80,G80))))</f>
        <v>0.51919999999999999</v>
      </c>
      <c r="I80" s="123" t="s">
        <v>642</v>
      </c>
      <c r="K80" s="151"/>
    </row>
    <row r="81" spans="1:11" x14ac:dyDescent="0.25">
      <c r="A81" s="628"/>
      <c r="B81" s="631"/>
      <c r="C81" s="606"/>
      <c r="D81" s="140">
        <v>15.41</v>
      </c>
      <c r="E81" s="149">
        <v>0.4</v>
      </c>
      <c r="F81" s="149">
        <v>1.04</v>
      </c>
      <c r="G81" s="142">
        <v>1</v>
      </c>
      <c r="H81" s="141">
        <f>IF(C61=$M$5,G81,IF(C61=$M$6,D81*G81,IF((C61=$M$7),D81*E81*G81,IF(C61=$M$8,D81*E81*F81*G81,G81))))</f>
        <v>6.4105600000000011</v>
      </c>
      <c r="I81" s="123" t="s">
        <v>643</v>
      </c>
      <c r="K81" s="151"/>
    </row>
    <row r="82" spans="1:11" x14ac:dyDescent="0.25">
      <c r="A82" s="628"/>
      <c r="B82" s="631"/>
      <c r="C82" s="606"/>
      <c r="D82" s="140">
        <v>15.99</v>
      </c>
      <c r="E82" s="149">
        <v>0.4</v>
      </c>
      <c r="F82" s="149">
        <f>0.86/2</f>
        <v>0.43</v>
      </c>
      <c r="G82" s="142">
        <v>1</v>
      </c>
      <c r="H82" s="141">
        <f>IF(C61=$M$5,G82,IF(C61=$M$6,D82*G82,IF((C61=$M$7),D82*E82*G82,IF(C61=$M$8,D82*E82*F82*G82,G82))))</f>
        <v>2.7502800000000005</v>
      </c>
      <c r="I82" s="123" t="s">
        <v>644</v>
      </c>
      <c r="K82" s="151"/>
    </row>
    <row r="83" spans="1:11" x14ac:dyDescent="0.25">
      <c r="A83" s="628"/>
      <c r="B83" s="631"/>
      <c r="C83" s="606"/>
      <c r="D83" s="140">
        <v>12.05</v>
      </c>
      <c r="E83" s="149">
        <v>0.4</v>
      </c>
      <c r="F83" s="149">
        <f>0.86/2</f>
        <v>0.43</v>
      </c>
      <c r="G83" s="142">
        <v>1</v>
      </c>
      <c r="H83" s="141">
        <f>IF(C61=$M$5,G83,IF(C61=$M$6,D83*G83,IF((C61=$M$7),D83*E83*G83,IF(C61=$M$8,D83*E83*F83*G83,G83))))</f>
        <v>2.0726</v>
      </c>
      <c r="I83" s="123" t="s">
        <v>645</v>
      </c>
      <c r="K83" s="151"/>
    </row>
    <row r="84" spans="1:11" ht="15.75" thickBot="1" x14ac:dyDescent="0.3">
      <c r="A84" s="629"/>
      <c r="B84" s="632"/>
      <c r="C84" s="636"/>
      <c r="D84" s="633"/>
      <c r="E84" s="634"/>
      <c r="F84" s="634"/>
      <c r="G84" s="635"/>
      <c r="H84" s="143">
        <f>SUM(H61:H83)</f>
        <v>325.73472999999996</v>
      </c>
      <c r="I84" s="129" t="s">
        <v>461</v>
      </c>
    </row>
    <row r="85" spans="1:11" ht="15.75" thickBot="1" x14ac:dyDescent="0.3">
      <c r="A85" s="106">
        <v>3</v>
      </c>
      <c r="B85" s="625" t="s">
        <v>462</v>
      </c>
      <c r="C85" s="625" t="s">
        <v>463</v>
      </c>
      <c r="D85" s="625" t="s">
        <v>463</v>
      </c>
      <c r="E85" s="625" t="s">
        <v>463</v>
      </c>
      <c r="F85" s="625" t="s">
        <v>463</v>
      </c>
      <c r="G85" s="625" t="s">
        <v>463</v>
      </c>
      <c r="H85" s="625" t="s">
        <v>463</v>
      </c>
      <c r="I85" s="626" t="s">
        <v>463</v>
      </c>
    </row>
    <row r="86" spans="1:11" ht="25.5" x14ac:dyDescent="0.25">
      <c r="A86" s="109">
        <v>3.1</v>
      </c>
      <c r="B86" s="110" t="s">
        <v>14</v>
      </c>
      <c r="C86" s="117" t="s">
        <v>75</v>
      </c>
      <c r="D86" s="136">
        <v>629.71</v>
      </c>
      <c r="E86" s="137">
        <v>1</v>
      </c>
      <c r="F86" s="137">
        <v>0.05</v>
      </c>
      <c r="G86" s="138">
        <v>1</v>
      </c>
      <c r="H86" s="139">
        <f>IF(C86=$M$5,G86,IF(C86=$M$6,D86*G86,IF((C86=$M$7),D86*E86*G86,IF(C86=$M$8,D86*E86*F86*G86,G86))))</f>
        <v>629.71</v>
      </c>
      <c r="I86" s="128" t="s">
        <v>1129</v>
      </c>
    </row>
    <row r="87" spans="1:11" x14ac:dyDescent="0.25">
      <c r="A87" s="628">
        <v>3.2</v>
      </c>
      <c r="B87" s="631" t="s">
        <v>608</v>
      </c>
      <c r="C87" s="606" t="s">
        <v>71</v>
      </c>
      <c r="D87" s="148">
        <v>1.4</v>
      </c>
      <c r="E87" s="149">
        <v>2.8</v>
      </c>
      <c r="F87" s="149">
        <v>0.4</v>
      </c>
      <c r="G87" s="150">
        <v>2</v>
      </c>
      <c r="H87" s="149">
        <f>IF(C87=$M$5,G87,IF(C87=$M$6,D87*G87,IF((C87=$M$7),D87*E87*G87,IF(C87=$M$8,D87*E87*F87*G87,G87))))</f>
        <v>3.1359999999999997</v>
      </c>
      <c r="I87" s="123" t="s">
        <v>574</v>
      </c>
    </row>
    <row r="88" spans="1:11" ht="25.5" x14ac:dyDescent="0.25">
      <c r="A88" s="628"/>
      <c r="B88" s="631"/>
      <c r="C88" s="606"/>
      <c r="D88" s="140">
        <v>1.5</v>
      </c>
      <c r="E88" s="141">
        <v>1.5</v>
      </c>
      <c r="F88" s="149">
        <v>0.4</v>
      </c>
      <c r="G88" s="142">
        <v>7</v>
      </c>
      <c r="H88" s="141">
        <f>IF(C87=$M$5,G88,IF(C87=$M$6,D88*G88,IF((C87=$M$7),D88*E88*G88,IF(C87=$M$8,D88*E88*F88*G88,G88))))</f>
        <v>6.3</v>
      </c>
      <c r="I88" s="121" t="s">
        <v>575</v>
      </c>
    </row>
    <row r="89" spans="1:11" x14ac:dyDescent="0.25">
      <c r="A89" s="628"/>
      <c r="B89" s="631"/>
      <c r="C89" s="606"/>
      <c r="D89" s="140">
        <v>1.4</v>
      </c>
      <c r="E89" s="141">
        <v>2.8</v>
      </c>
      <c r="F89" s="149">
        <v>0.4</v>
      </c>
      <c r="G89" s="142">
        <v>4</v>
      </c>
      <c r="H89" s="141">
        <f>IF(C87=$M$5,G89,IF(C87=$M$6,D89*G89,IF((C87=$M$7),D89*E89*G89,IF(C87=$M$8,D89*E89*F89*G89,G89))))</f>
        <v>6.2719999999999994</v>
      </c>
      <c r="I89" s="121" t="s">
        <v>576</v>
      </c>
    </row>
    <row r="90" spans="1:11" x14ac:dyDescent="0.25">
      <c r="A90" s="628"/>
      <c r="B90" s="631"/>
      <c r="C90" s="606"/>
      <c r="D90" s="140">
        <v>1.5</v>
      </c>
      <c r="E90" s="141">
        <v>1.5</v>
      </c>
      <c r="F90" s="149">
        <v>0.4</v>
      </c>
      <c r="G90" s="142">
        <v>1</v>
      </c>
      <c r="H90" s="141">
        <f>IF(C87=$M$5,G90,IF(C87=$M$6,D90*G90,IF((C87=$M$7),D90*E90*G90,IF(C87=$M$8,D90*E90*F90*G90,G90))))</f>
        <v>0.9</v>
      </c>
      <c r="I90" s="121" t="s">
        <v>577</v>
      </c>
    </row>
    <row r="91" spans="1:11" x14ac:dyDescent="0.25">
      <c r="A91" s="628"/>
      <c r="B91" s="631"/>
      <c r="C91" s="606"/>
      <c r="D91" s="140">
        <v>1.5</v>
      </c>
      <c r="E91" s="141">
        <v>1.5</v>
      </c>
      <c r="F91" s="149">
        <v>0.4</v>
      </c>
      <c r="G91" s="142">
        <v>1</v>
      </c>
      <c r="H91" s="141">
        <f>IF(C87=$M$5,G91,IF(C87=$M$6,D91*G91,IF((C87=$M$7),D91*E91*G91,IF(C87=$M$8,D91*E91*F91*G91,G91))))</f>
        <v>0.9</v>
      </c>
      <c r="I91" s="121" t="s">
        <v>578</v>
      </c>
    </row>
    <row r="92" spans="1:11" x14ac:dyDescent="0.25">
      <c r="A92" s="628"/>
      <c r="B92" s="631"/>
      <c r="C92" s="606"/>
      <c r="D92" s="140">
        <v>1.5</v>
      </c>
      <c r="E92" s="141">
        <v>1.5</v>
      </c>
      <c r="F92" s="149">
        <v>0.4</v>
      </c>
      <c r="G92" s="142">
        <v>2</v>
      </c>
      <c r="H92" s="141">
        <f>IF(C87=$M$5,G92,IF(C87=$M$6,D92*G92,IF((C87=$M$7),D92*E92*G92,IF(C87=$M$8,D92*E92*F92*G92,G92))))</f>
        <v>1.8</v>
      </c>
      <c r="I92" s="121" t="s">
        <v>579</v>
      </c>
    </row>
    <row r="93" spans="1:11" x14ac:dyDescent="0.25">
      <c r="A93" s="628"/>
      <c r="B93" s="631"/>
      <c r="C93" s="606"/>
      <c r="D93" s="140">
        <v>1.5</v>
      </c>
      <c r="E93" s="141">
        <v>1.5</v>
      </c>
      <c r="F93" s="149">
        <v>0.4</v>
      </c>
      <c r="G93" s="142">
        <v>2</v>
      </c>
      <c r="H93" s="141">
        <f>IF(C87=$M$5,G93,IF(C87=$M$6,D93*G93,IF((C87=$M$7),D93*E93*G93,IF(C87=$M$8,D93*E93*F93*G93,G93))))</f>
        <v>1.8</v>
      </c>
      <c r="I93" s="121" t="s">
        <v>580</v>
      </c>
    </row>
    <row r="94" spans="1:11" x14ac:dyDescent="0.25">
      <c r="A94" s="628"/>
      <c r="B94" s="631"/>
      <c r="C94" s="606"/>
      <c r="D94" s="140">
        <v>1.5</v>
      </c>
      <c r="E94" s="141">
        <v>1.5</v>
      </c>
      <c r="F94" s="149">
        <v>0.4</v>
      </c>
      <c r="G94" s="142">
        <v>5</v>
      </c>
      <c r="H94" s="141">
        <f>IF(C87=$M$5,G94,IF(C87=$M$6,D94*G94,IF((C87=$M$7),D94*E94*G94,IF(C87=$M$8,D94*E94*F94*G94,G94))))</f>
        <v>4.5</v>
      </c>
      <c r="I94" s="121" t="s">
        <v>581</v>
      </c>
    </row>
    <row r="95" spans="1:11" x14ac:dyDescent="0.25">
      <c r="A95" s="628"/>
      <c r="B95" s="631"/>
      <c r="C95" s="606"/>
      <c r="D95" s="140">
        <v>2.4</v>
      </c>
      <c r="E95" s="141">
        <v>1.2</v>
      </c>
      <c r="F95" s="149">
        <v>0.4</v>
      </c>
      <c r="G95" s="142">
        <v>2</v>
      </c>
      <c r="H95" s="141">
        <f>IF(C87=$M$5,G95,IF(C87=$M$6,D95*G95,IF((C87=$M$7),D95*E95*G95,IF(C87=$M$8,D95*E95*F95*G95,G95))))</f>
        <v>2.3039999999999998</v>
      </c>
      <c r="I95" s="121" t="s">
        <v>582</v>
      </c>
    </row>
    <row r="96" spans="1:11" x14ac:dyDescent="0.25">
      <c r="A96" s="628"/>
      <c r="B96" s="631"/>
      <c r="C96" s="606"/>
      <c r="D96" s="140">
        <v>2.4</v>
      </c>
      <c r="E96" s="141">
        <v>1.2</v>
      </c>
      <c r="F96" s="149">
        <v>0.4</v>
      </c>
      <c r="G96" s="142">
        <v>4</v>
      </c>
      <c r="H96" s="141">
        <f>IF(C87=$M$5,G96,IF(C87=$M$6,D96*G96,IF((C87=$M$7),D96*E96*G96,IF(C87=$M$8,D96*E96*F96*G96,G96))))</f>
        <v>4.6079999999999997</v>
      </c>
      <c r="I96" s="121" t="s">
        <v>583</v>
      </c>
    </row>
    <row r="97" spans="1:9" x14ac:dyDescent="0.25">
      <c r="A97" s="628"/>
      <c r="B97" s="631"/>
      <c r="C97" s="606"/>
      <c r="D97" s="140">
        <v>1.5</v>
      </c>
      <c r="E97" s="141">
        <v>0.8</v>
      </c>
      <c r="F97" s="149">
        <v>0.4</v>
      </c>
      <c r="G97" s="142">
        <v>3</v>
      </c>
      <c r="H97" s="141">
        <f>IF(C87=$M$5,G97,IF(C87=$M$6,D97*G97,IF((C87=$M$7),D97*E97*G97,IF(C87=$M$8,D97*E97*F97*G97,G97))))</f>
        <v>1.4400000000000004</v>
      </c>
      <c r="I97" s="121" t="s">
        <v>584</v>
      </c>
    </row>
    <row r="98" spans="1:9" x14ac:dyDescent="0.25">
      <c r="A98" s="628"/>
      <c r="B98" s="631"/>
      <c r="C98" s="606"/>
      <c r="D98" s="140">
        <v>0.8</v>
      </c>
      <c r="E98" s="141">
        <v>0.8</v>
      </c>
      <c r="F98" s="149">
        <v>0.4</v>
      </c>
      <c r="G98" s="142">
        <v>2</v>
      </c>
      <c r="H98" s="141">
        <f>IF(C87=$M$5,G98,IF(C87=$M$6,D98*G98,IF((C87=$M$7),D98*E98*G98,IF(C87=$M$8,D98*E98*F98*G98,G98))))</f>
        <v>0.51200000000000012</v>
      </c>
      <c r="I98" s="121" t="s">
        <v>585</v>
      </c>
    </row>
    <row r="99" spans="1:9" x14ac:dyDescent="0.25">
      <c r="A99" s="629"/>
      <c r="B99" s="632"/>
      <c r="C99" s="636"/>
      <c r="D99" s="633"/>
      <c r="E99" s="634"/>
      <c r="F99" s="634"/>
      <c r="G99" s="635"/>
      <c r="H99" s="143">
        <f>SUM(H87:H98)</f>
        <v>34.471999999999994</v>
      </c>
      <c r="I99" s="129" t="s">
        <v>461</v>
      </c>
    </row>
    <row r="100" spans="1:9" x14ac:dyDescent="0.25">
      <c r="A100" s="628">
        <v>3.3</v>
      </c>
      <c r="B100" s="631" t="s">
        <v>561</v>
      </c>
      <c r="C100" s="606" t="s">
        <v>71</v>
      </c>
      <c r="D100" s="148">
        <v>0.4</v>
      </c>
      <c r="E100" s="149">
        <v>0.6</v>
      </c>
      <c r="F100" s="149">
        <v>3.4251999999999998</v>
      </c>
      <c r="G100" s="150">
        <v>4</v>
      </c>
      <c r="H100" s="149">
        <f>IF(C100=$M$5,G100,IF(C100=$M$6,D100*G100,IF((C100=$M$7),D100*E100*G100,IF(C100=$M$8,D100*E100*F100*G100,G100))))</f>
        <v>3.2881919999999996</v>
      </c>
      <c r="I100" s="123" t="s">
        <v>609</v>
      </c>
    </row>
    <row r="101" spans="1:9" x14ac:dyDescent="0.25">
      <c r="A101" s="628"/>
      <c r="B101" s="631"/>
      <c r="C101" s="606"/>
      <c r="D101" s="148">
        <v>0.4</v>
      </c>
      <c r="E101" s="149">
        <v>0.6</v>
      </c>
      <c r="F101" s="141">
        <v>3.5</v>
      </c>
      <c r="G101" s="142">
        <v>6</v>
      </c>
      <c r="H101" s="141">
        <f>IF(C100=$M$5,G101,IF(C100=$M$6,D101*G101,IF((C100=$M$7),D101*E101*G101,IF(C100=$M$8,D101*E101*F101*G101,G101))))</f>
        <v>5.04</v>
      </c>
      <c r="I101" s="121" t="s">
        <v>610</v>
      </c>
    </row>
    <row r="102" spans="1:9" x14ac:dyDescent="0.25">
      <c r="A102" s="628"/>
      <c r="B102" s="631"/>
      <c r="C102" s="606"/>
      <c r="D102" s="148">
        <v>0.4</v>
      </c>
      <c r="E102" s="149">
        <v>0.6</v>
      </c>
      <c r="F102" s="141">
        <v>3.5</v>
      </c>
      <c r="G102" s="142">
        <v>2</v>
      </c>
      <c r="H102" s="141">
        <f>IF(C100=$M$5,G102,IF(C100=$M$6,D102*G102,IF((C100=$M$7),D102*E102*G102,IF(C100=$M$8,D102*E102*F102*G102,G102))))</f>
        <v>1.68</v>
      </c>
      <c r="I102" s="121" t="s">
        <v>611</v>
      </c>
    </row>
    <row r="103" spans="1:9" x14ac:dyDescent="0.25">
      <c r="A103" s="628"/>
      <c r="B103" s="631"/>
      <c r="C103" s="606"/>
      <c r="D103" s="148">
        <v>0.4</v>
      </c>
      <c r="E103" s="149">
        <v>0.6</v>
      </c>
      <c r="F103" s="141">
        <v>3.5</v>
      </c>
      <c r="G103" s="142">
        <v>4</v>
      </c>
      <c r="H103" s="141">
        <f>IF(C100=$M$5,G103,IF(C100=$M$6,D103*G103,IF((C100=$M$7),D103*E103*G103,IF(C100=$M$8,D103*E103*F103*G103,G103))))</f>
        <v>3.36</v>
      </c>
      <c r="I103" s="121" t="s">
        <v>612</v>
      </c>
    </row>
    <row r="104" spans="1:9" x14ac:dyDescent="0.25">
      <c r="A104" s="629"/>
      <c r="B104" s="632"/>
      <c r="C104" s="636"/>
      <c r="D104" s="633"/>
      <c r="E104" s="634"/>
      <c r="F104" s="634"/>
      <c r="G104" s="635"/>
      <c r="H104" s="143">
        <f>SUM(H100:H103)</f>
        <v>13.368191999999999</v>
      </c>
      <c r="I104" s="129" t="s">
        <v>461</v>
      </c>
    </row>
    <row r="105" spans="1:9" ht="25.5" x14ac:dyDescent="0.25">
      <c r="A105" s="628">
        <v>3.4</v>
      </c>
      <c r="B105" s="631" t="s">
        <v>167</v>
      </c>
      <c r="C105" s="606" t="s">
        <v>71</v>
      </c>
      <c r="D105" s="148">
        <v>3.4</v>
      </c>
      <c r="E105" s="149">
        <v>0.3</v>
      </c>
      <c r="F105" s="149">
        <v>0.3</v>
      </c>
      <c r="G105" s="150">
        <v>2</v>
      </c>
      <c r="H105" s="149">
        <f>IF(C105=$M$5,G105,IF(C105=$M$6,D105*G105,IF((C105=$M$7),D105*E105*G105,IF(C105=$M$8,D105*E105*F105*G105,G105))))</f>
        <v>0.61199999999999999</v>
      </c>
      <c r="I105" s="123" t="s">
        <v>586</v>
      </c>
    </row>
    <row r="106" spans="1:9" ht="25.5" x14ac:dyDescent="0.25">
      <c r="A106" s="628"/>
      <c r="B106" s="631"/>
      <c r="C106" s="606"/>
      <c r="D106" s="140">
        <v>1.52</v>
      </c>
      <c r="E106" s="149">
        <v>0.3</v>
      </c>
      <c r="F106" s="149">
        <v>0.3</v>
      </c>
      <c r="G106" s="142">
        <v>2</v>
      </c>
      <c r="H106" s="141">
        <f>IF(C105=$M$5,G106,IF(C105=$M$6,D106*G106,IF((C105=$M$7),D106*E106*G106,IF(C105=$M$8,D106*E106*F106*G106,G106))))</f>
        <v>0.27359999999999995</v>
      </c>
      <c r="I106" s="121" t="s">
        <v>587</v>
      </c>
    </row>
    <row r="107" spans="1:9" x14ac:dyDescent="0.25">
      <c r="A107" s="628"/>
      <c r="B107" s="631"/>
      <c r="C107" s="606"/>
      <c r="D107" s="140">
        <v>2.7</v>
      </c>
      <c r="E107" s="149">
        <v>0.4</v>
      </c>
      <c r="F107" s="149">
        <v>0.6</v>
      </c>
      <c r="G107" s="142">
        <v>1</v>
      </c>
      <c r="H107" s="141">
        <f>IF(C105=$M$5,G107,IF(C105=$M$6,D107*G107,IF((C105=$M$7),D107*E107*G107,IF(C105=$M$8,D107*E107*F107*G107,G107))))</f>
        <v>0.64800000000000002</v>
      </c>
      <c r="I107" s="121" t="s">
        <v>588</v>
      </c>
    </row>
    <row r="108" spans="1:9" ht="51" x14ac:dyDescent="0.25">
      <c r="A108" s="628"/>
      <c r="B108" s="631"/>
      <c r="C108" s="606"/>
      <c r="D108" s="140">
        <v>2.4</v>
      </c>
      <c r="E108" s="149">
        <v>0.4</v>
      </c>
      <c r="F108" s="149">
        <v>0.6</v>
      </c>
      <c r="G108" s="142">
        <v>5</v>
      </c>
      <c r="H108" s="141">
        <f>IF(C105=$M$5,G108,IF(C105=$M$6,D108*G108,IF((C105=$M$7),D108*E108*G108,IF(C105=$M$8,D108*E108*F108*G108,G108))))</f>
        <v>2.88</v>
      </c>
      <c r="I108" s="121" t="s">
        <v>589</v>
      </c>
    </row>
    <row r="109" spans="1:9" ht="25.5" x14ac:dyDescent="0.25">
      <c r="A109" s="628"/>
      <c r="B109" s="631"/>
      <c r="C109" s="606"/>
      <c r="D109" s="140">
        <v>3.2</v>
      </c>
      <c r="E109" s="149">
        <v>0.3</v>
      </c>
      <c r="F109" s="149">
        <v>0.3</v>
      </c>
      <c r="G109" s="142">
        <v>2</v>
      </c>
      <c r="H109" s="141">
        <f>IF(C105=$M$5,G109,IF(C105=$M$6,D109*G109,IF((C105=$M$7),D109*E109*G109,IF(C105=$M$8,D109*E109*F109*G109,G109))))</f>
        <v>0.57599999999999996</v>
      </c>
      <c r="I109" s="121" t="s">
        <v>590</v>
      </c>
    </row>
    <row r="110" spans="1:9" ht="25.5" x14ac:dyDescent="0.25">
      <c r="A110" s="628"/>
      <c r="B110" s="631"/>
      <c r="C110" s="606"/>
      <c r="D110" s="140">
        <v>0.6</v>
      </c>
      <c r="E110" s="149">
        <v>0.3</v>
      </c>
      <c r="F110" s="149">
        <v>0.3</v>
      </c>
      <c r="G110" s="142">
        <v>2</v>
      </c>
      <c r="H110" s="141">
        <f>IF(C105=$M$5,G110,IF(C105=$M$6,D110*G110,IF((C105=$M$7),D110*E110*G110,IF(C105=$M$8,D110*E110*F110*G110,G110))))</f>
        <v>0.108</v>
      </c>
      <c r="I110" s="121" t="s">
        <v>591</v>
      </c>
    </row>
    <row r="111" spans="1:9" ht="25.5" x14ac:dyDescent="0.25">
      <c r="A111" s="628"/>
      <c r="B111" s="631"/>
      <c r="C111" s="606"/>
      <c r="D111" s="140">
        <v>3.6</v>
      </c>
      <c r="E111" s="149">
        <v>0.3</v>
      </c>
      <c r="F111" s="149">
        <v>0.3</v>
      </c>
      <c r="G111" s="142">
        <v>3</v>
      </c>
      <c r="H111" s="141">
        <f>IF(C105=$M$5,G111,IF(C105=$M$6,D111*G111,IF((C105=$M$7),D111*E111*G111,IF(C105=$M$8,D111*E111*F111*G111,G111))))</f>
        <v>0.97199999999999998</v>
      </c>
      <c r="I111" s="121" t="s">
        <v>592</v>
      </c>
    </row>
    <row r="112" spans="1:9" ht="25.5" x14ac:dyDescent="0.25">
      <c r="A112" s="628"/>
      <c r="B112" s="631"/>
      <c r="C112" s="606"/>
      <c r="D112" s="140">
        <v>2.35</v>
      </c>
      <c r="E112" s="149">
        <v>0.3</v>
      </c>
      <c r="F112" s="149">
        <v>0.3</v>
      </c>
      <c r="G112" s="142">
        <v>2</v>
      </c>
      <c r="H112" s="141">
        <f>IF(C105=$M$5,G112,IF(C105=$M$6,D112*G112,IF((C105=$M$7),D112*E112*G112,IF(C105=$M$8,D112*E112*F112*G112,G112))))</f>
        <v>0.42299999999999999</v>
      </c>
      <c r="I112" s="121" t="s">
        <v>593</v>
      </c>
    </row>
    <row r="113" spans="1:9" ht="25.5" x14ac:dyDescent="0.25">
      <c r="A113" s="628"/>
      <c r="B113" s="631"/>
      <c r="C113" s="606"/>
      <c r="D113" s="140">
        <v>2.2999999999999998</v>
      </c>
      <c r="E113" s="149">
        <v>0.3</v>
      </c>
      <c r="F113" s="149">
        <v>0.3</v>
      </c>
      <c r="G113" s="142">
        <v>2</v>
      </c>
      <c r="H113" s="141">
        <f>IF(C105=$M$5,G113,IF(C105=$M$6,D113*G113,IF((C105=$M$7),D113*E113*G113,IF(C105=$M$8,D113*E113*F113*G113,G113))))</f>
        <v>0.41399999999999998</v>
      </c>
      <c r="I113" s="121" t="s">
        <v>594</v>
      </c>
    </row>
    <row r="114" spans="1:9" x14ac:dyDescent="0.25">
      <c r="A114" s="628"/>
      <c r="B114" s="631"/>
      <c r="C114" s="606"/>
      <c r="D114" s="140">
        <v>2.6</v>
      </c>
      <c r="E114" s="149">
        <v>0.4</v>
      </c>
      <c r="F114" s="149">
        <v>0.6</v>
      </c>
      <c r="G114" s="142">
        <v>1</v>
      </c>
      <c r="H114" s="141">
        <f>IF(C105=$M$5,G114,IF(C105=$M$6,D114*G114,IF((C105=$M$7),D114*E114*G114,IF(C105=$M$8,D114*E114*F114*G114,G114))))</f>
        <v>0.624</v>
      </c>
      <c r="I114" s="121" t="s">
        <v>595</v>
      </c>
    </row>
    <row r="115" spans="1:9" ht="25.5" x14ac:dyDescent="0.25">
      <c r="A115" s="628"/>
      <c r="B115" s="631"/>
      <c r="C115" s="606"/>
      <c r="D115" s="140">
        <v>2.5</v>
      </c>
      <c r="E115" s="149">
        <v>0.3</v>
      </c>
      <c r="F115" s="149">
        <v>0.3</v>
      </c>
      <c r="G115" s="142">
        <v>2</v>
      </c>
      <c r="H115" s="141">
        <f>IF(C105=$M$5,G115,IF(C105=$M$6,D115*G115,IF((C105=$M$7),D115*E115*G115,IF(C105=$M$8,D115*E115*F115*G115,G115))))</f>
        <v>0.44999999999999996</v>
      </c>
      <c r="I115" s="121" t="s">
        <v>596</v>
      </c>
    </row>
    <row r="116" spans="1:9" ht="25.5" x14ac:dyDescent="0.25">
      <c r="A116" s="628"/>
      <c r="B116" s="631"/>
      <c r="C116" s="606"/>
      <c r="D116" s="140">
        <v>0.55000000000000004</v>
      </c>
      <c r="E116" s="149">
        <v>0.3</v>
      </c>
      <c r="F116" s="149">
        <v>0.3</v>
      </c>
      <c r="G116" s="142">
        <v>2</v>
      </c>
      <c r="H116" s="141">
        <f>IF(C105=$M$5,G116,IF(C105=$M$6,D116*G116,IF((C105=$M$7),D116*E116*G116,IF(C105=$M$8,D116*E116*F116*G116,G116))))</f>
        <v>9.9000000000000005E-2</v>
      </c>
      <c r="I116" s="121" t="s">
        <v>597</v>
      </c>
    </row>
    <row r="117" spans="1:9" x14ac:dyDescent="0.25">
      <c r="A117" s="628"/>
      <c r="B117" s="631"/>
      <c r="C117" s="606"/>
      <c r="D117" s="140">
        <v>2.79</v>
      </c>
      <c r="E117" s="149">
        <v>0.4</v>
      </c>
      <c r="F117" s="149">
        <v>0.6</v>
      </c>
      <c r="G117" s="142">
        <v>1</v>
      </c>
      <c r="H117" s="141">
        <f>IF(C105=$M$5,G117,IF(C105=$M$6,D117*G117,IF((C105=$M$7),D117*E117*G117,IF(C105=$M$8,D117*E117*F117*G117,G117))))</f>
        <v>0.66960000000000008</v>
      </c>
      <c r="I117" s="121" t="s">
        <v>598</v>
      </c>
    </row>
    <row r="118" spans="1:9" ht="38.25" x14ac:dyDescent="0.25">
      <c r="A118" s="628"/>
      <c r="B118" s="631"/>
      <c r="C118" s="606"/>
      <c r="D118" s="140">
        <v>4.2</v>
      </c>
      <c r="E118" s="149">
        <v>0.3</v>
      </c>
      <c r="F118" s="149">
        <v>0.3</v>
      </c>
      <c r="G118" s="142">
        <v>3</v>
      </c>
      <c r="H118" s="141">
        <f>IF(C105=$M$5,G118,IF(C105=$M$6,D118*G118,IF((C105=$M$7),D118*E118*G118,IF(C105=$M$8,D118*E118*F118*G118,G118))))</f>
        <v>1.1339999999999999</v>
      </c>
      <c r="I118" s="121" t="s">
        <v>599</v>
      </c>
    </row>
    <row r="119" spans="1:9" x14ac:dyDescent="0.25">
      <c r="A119" s="628"/>
      <c r="B119" s="631"/>
      <c r="C119" s="606"/>
      <c r="D119" s="140">
        <v>3.2</v>
      </c>
      <c r="E119" s="149">
        <v>0.3</v>
      </c>
      <c r="F119" s="149">
        <v>0.3</v>
      </c>
      <c r="G119" s="142">
        <v>1</v>
      </c>
      <c r="H119" s="141">
        <f>IF(C105=$M$5,G119,IF(C105=$M$6,D119*G119,IF((C105=$M$7),D119*E119*G119,IF(C105=$M$8,D119*E119*F119*G119,G119))))</f>
        <v>0.28799999999999998</v>
      </c>
      <c r="I119" s="121" t="s">
        <v>600</v>
      </c>
    </row>
    <row r="120" spans="1:9" ht="25.5" x14ac:dyDescent="0.25">
      <c r="A120" s="628"/>
      <c r="B120" s="631"/>
      <c r="C120" s="606"/>
      <c r="D120" s="140">
        <v>1.5</v>
      </c>
      <c r="E120" s="149">
        <v>0.3</v>
      </c>
      <c r="F120" s="149">
        <v>0.3</v>
      </c>
      <c r="G120" s="142">
        <v>2</v>
      </c>
      <c r="H120" s="141">
        <f>IF(C105=$M$5,G120,IF(C105=$M$6,D120*G120,IF((C105=$M$7),D120*E120*G120,IF(C105=$M$8,D120*E120*F120*G120,G120))))</f>
        <v>0.26999999999999996</v>
      </c>
      <c r="I120" s="121" t="s">
        <v>601</v>
      </c>
    </row>
    <row r="121" spans="1:9" x14ac:dyDescent="0.25">
      <c r="A121" s="628"/>
      <c r="B121" s="631"/>
      <c r="C121" s="606"/>
      <c r="D121" s="140">
        <v>1.03</v>
      </c>
      <c r="E121" s="149">
        <v>0.3</v>
      </c>
      <c r="F121" s="149">
        <v>0.3</v>
      </c>
      <c r="G121" s="142">
        <v>1</v>
      </c>
      <c r="H121" s="141">
        <f>IF(C105=$M$5,G121,IF(C105=$M$6,D121*G121,IF((C105=$M$7),D121*E121*G121,IF(C105=$M$8,D121*E121*F121*G121,G121))))</f>
        <v>9.2699999999999991E-2</v>
      </c>
      <c r="I121" s="121" t="s">
        <v>602</v>
      </c>
    </row>
    <row r="122" spans="1:9" ht="38.25" x14ac:dyDescent="0.25">
      <c r="A122" s="628"/>
      <c r="B122" s="631"/>
      <c r="C122" s="606"/>
      <c r="D122" s="140">
        <v>1.05</v>
      </c>
      <c r="E122" s="149">
        <v>0.3</v>
      </c>
      <c r="F122" s="149">
        <v>0.3</v>
      </c>
      <c r="G122" s="142">
        <v>4</v>
      </c>
      <c r="H122" s="141">
        <f>IF(C105=$M$5,G122,IF(C105=$M$6,D122*G122,IF((C105=$M$7),D122*E122*G122,IF(C105=$M$8,D122*E122*F122*G122,G122))))</f>
        <v>0.378</v>
      </c>
      <c r="I122" s="121" t="s">
        <v>603</v>
      </c>
    </row>
    <row r="123" spans="1:9" ht="38.25" x14ac:dyDescent="0.25">
      <c r="A123" s="628"/>
      <c r="B123" s="631"/>
      <c r="C123" s="606"/>
      <c r="D123" s="140">
        <v>2.5499999999999998</v>
      </c>
      <c r="E123" s="149">
        <v>0.3</v>
      </c>
      <c r="F123" s="149">
        <v>0.3</v>
      </c>
      <c r="G123" s="142">
        <v>4</v>
      </c>
      <c r="H123" s="141">
        <f>IF(C105=$M$5,G123,IF(C105=$M$6,D123*G123,IF((C105=$M$7),D123*E123*G123,IF(C105=$M$8,D123*E123*F123*G123,G123))))</f>
        <v>0.91799999999999982</v>
      </c>
      <c r="I123" s="121" t="s">
        <v>604</v>
      </c>
    </row>
    <row r="124" spans="1:9" x14ac:dyDescent="0.25">
      <c r="A124" s="628"/>
      <c r="B124" s="631"/>
      <c r="C124" s="606"/>
      <c r="D124" s="140">
        <v>1.08</v>
      </c>
      <c r="E124" s="149">
        <v>0.3</v>
      </c>
      <c r="F124" s="149">
        <v>0.3</v>
      </c>
      <c r="G124" s="142">
        <v>1</v>
      </c>
      <c r="H124" s="141">
        <f>IF(C105=$M$5,G124,IF(C105=$M$6,D124*G124,IF((C105=$M$7),D124*E124*G124,IF(C105=$M$8,D124*E124*F124*G124,G124))))</f>
        <v>9.7199999999999995E-2</v>
      </c>
      <c r="I124" s="121" t="s">
        <v>605</v>
      </c>
    </row>
    <row r="125" spans="1:9" ht="25.5" x14ac:dyDescent="0.25">
      <c r="A125" s="628"/>
      <c r="B125" s="631"/>
      <c r="C125" s="606"/>
      <c r="D125" s="140">
        <v>1.48</v>
      </c>
      <c r="E125" s="149">
        <v>0.3</v>
      </c>
      <c r="F125" s="149">
        <v>0.3</v>
      </c>
      <c r="G125" s="142">
        <v>2</v>
      </c>
      <c r="H125" s="141">
        <f>IF(C105=$M$5,G125,IF(C105=$M$6,D125*G125,IF((C105=$M$7),D125*E125*G125,IF(C105=$M$8,D125*E125*F125*G125,G125))))</f>
        <v>0.26639999999999997</v>
      </c>
      <c r="I125" s="121" t="s">
        <v>606</v>
      </c>
    </row>
    <row r="126" spans="1:9" x14ac:dyDescent="0.25">
      <c r="A126" s="628"/>
      <c r="B126" s="631"/>
      <c r="C126" s="606"/>
      <c r="D126" s="140">
        <v>3.2</v>
      </c>
      <c r="E126" s="149">
        <v>0.3</v>
      </c>
      <c r="F126" s="149">
        <v>0.3</v>
      </c>
      <c r="G126" s="142">
        <v>1</v>
      </c>
      <c r="H126" s="141">
        <f>IF(C105=$M$5,G126,IF(C105=$M$6,D126*G126,IF((C105=$M$7),D126*E126*G126,IF(C105=$M$8,D126*E126*F126*G126,G126))))</f>
        <v>0.28799999999999998</v>
      </c>
      <c r="I126" s="121" t="s">
        <v>607</v>
      </c>
    </row>
    <row r="127" spans="1:9" x14ac:dyDescent="0.25">
      <c r="A127" s="629"/>
      <c r="B127" s="632"/>
      <c r="C127" s="636"/>
      <c r="D127" s="633"/>
      <c r="E127" s="634"/>
      <c r="F127" s="634"/>
      <c r="G127" s="635"/>
      <c r="H127" s="143">
        <f>SUM(H105:H126)</f>
        <v>12.4815</v>
      </c>
      <c r="I127" s="129" t="s">
        <v>461</v>
      </c>
    </row>
    <row r="128" spans="1:9" x14ac:dyDescent="0.25">
      <c r="A128" s="628">
        <v>3.5</v>
      </c>
      <c r="B128" s="631" t="s">
        <v>560</v>
      </c>
      <c r="C128" s="606" t="s">
        <v>71</v>
      </c>
      <c r="D128" s="148">
        <v>0.3</v>
      </c>
      <c r="E128" s="149">
        <v>0.3</v>
      </c>
      <c r="F128" s="149">
        <v>3.4060000000000001</v>
      </c>
      <c r="G128" s="150">
        <v>2</v>
      </c>
      <c r="H128" s="149">
        <f>IF(C128=$M$5,G128,IF(C128=$M$6,D128*G128,IF((C128=$M$7),D128*E128*G128,IF(C128=$M$8,D128*E128*F128*G128,G128))))</f>
        <v>0.61307999999999996</v>
      </c>
      <c r="I128" s="123" t="s">
        <v>613</v>
      </c>
    </row>
    <row r="129" spans="1:9" x14ac:dyDescent="0.25">
      <c r="A129" s="628"/>
      <c r="B129" s="631"/>
      <c r="C129" s="606"/>
      <c r="D129" s="148">
        <v>0.7</v>
      </c>
      <c r="E129" s="149">
        <v>0.4</v>
      </c>
      <c r="F129" s="149">
        <v>3.4249999999999998</v>
      </c>
      <c r="G129" s="150">
        <v>4</v>
      </c>
      <c r="H129" s="149">
        <f>D129*E129*F129*G129</f>
        <v>3.8359999999999994</v>
      </c>
      <c r="I129" s="123" t="s">
        <v>891</v>
      </c>
    </row>
    <row r="130" spans="1:9" ht="25.5" x14ac:dyDescent="0.25">
      <c r="A130" s="628"/>
      <c r="B130" s="631"/>
      <c r="C130" s="606"/>
      <c r="D130" s="140">
        <v>0.3</v>
      </c>
      <c r="E130" s="141">
        <v>0.3</v>
      </c>
      <c r="F130" s="141">
        <v>0.94089999999999996</v>
      </c>
      <c r="G130" s="142">
        <v>6</v>
      </c>
      <c r="H130" s="141">
        <f>IF(C128=$M$5,G130,IF(C128=$M$6,D130*G130,IF((C128=$M$7),D130*E130*G130,IF(C128=$M$8,D130*E130*F130*G130,G130))))</f>
        <v>0.50808599999999993</v>
      </c>
      <c r="I130" s="121" t="s">
        <v>614</v>
      </c>
    </row>
    <row r="131" spans="1:9" ht="25.5" x14ac:dyDescent="0.25">
      <c r="A131" s="628"/>
      <c r="B131" s="631"/>
      <c r="C131" s="606"/>
      <c r="D131" s="140">
        <v>0.3</v>
      </c>
      <c r="E131" s="141">
        <v>0.3</v>
      </c>
      <c r="F131" s="141">
        <v>2.5</v>
      </c>
      <c r="G131" s="142">
        <v>10</v>
      </c>
      <c r="H131" s="141">
        <f>IF(C128=$M$5,G131,IF(C128=$M$6,D131*G131,IF((C128=$M$7),D131*E131*G131,IF(C128=$M$8,D131*E131*F131*G131,G131))))</f>
        <v>2.25</v>
      </c>
      <c r="I131" s="121" t="s">
        <v>615</v>
      </c>
    </row>
    <row r="132" spans="1:9" x14ac:dyDescent="0.25">
      <c r="A132" s="629"/>
      <c r="B132" s="632"/>
      <c r="C132" s="636"/>
      <c r="D132" s="633"/>
      <c r="E132" s="634"/>
      <c r="F132" s="634"/>
      <c r="G132" s="635"/>
      <c r="H132" s="143">
        <f>SUM(H128:H131)</f>
        <v>7.2071659999999991</v>
      </c>
      <c r="I132" s="129" t="s">
        <v>461</v>
      </c>
    </row>
    <row r="133" spans="1:9" ht="15" customHeight="1" x14ac:dyDescent="0.25">
      <c r="A133" s="639">
        <v>3.6</v>
      </c>
      <c r="B133" s="640" t="s">
        <v>168</v>
      </c>
      <c r="C133" s="606" t="s">
        <v>75</v>
      </c>
      <c r="D133" s="148">
        <v>42.85</v>
      </c>
      <c r="E133" s="149">
        <v>1</v>
      </c>
      <c r="F133" s="149"/>
      <c r="G133" s="150">
        <v>1</v>
      </c>
      <c r="H133" s="149">
        <f>IF(C133=$M$5,G133,IF(C133=$M$6,D133*G133,IF((C133=$M$7),D133*E133*G133,IF(C133=$M$8,D133*E133*F133*G133,G133))))</f>
        <v>42.85</v>
      </c>
      <c r="I133" s="121" t="s">
        <v>467</v>
      </c>
    </row>
    <row r="134" spans="1:9" x14ac:dyDescent="0.25">
      <c r="A134" s="628"/>
      <c r="B134" s="631"/>
      <c r="C134" s="606"/>
      <c r="D134" s="140">
        <v>1.55</v>
      </c>
      <c r="E134" s="141">
        <v>2</v>
      </c>
      <c r="F134" s="141"/>
      <c r="G134" s="142">
        <v>2</v>
      </c>
      <c r="H134" s="141">
        <f>IF(C133=$M$5,G134,IF(C133=$M$6,D134*G134,IF((C133=$M$7),D134*E134*G134,IF(C133=$M$8,D134*E134*F134*G134,G134))))</f>
        <v>6.2</v>
      </c>
      <c r="I134" s="121" t="s">
        <v>468</v>
      </c>
    </row>
    <row r="135" spans="1:9" x14ac:dyDescent="0.25">
      <c r="A135" s="629"/>
      <c r="B135" s="632"/>
      <c r="C135" s="636"/>
      <c r="D135" s="633"/>
      <c r="E135" s="634"/>
      <c r="F135" s="634"/>
      <c r="G135" s="635"/>
      <c r="H135" s="143">
        <f>SUM(H133:H134)</f>
        <v>49.050000000000004</v>
      </c>
      <c r="I135" s="129" t="s">
        <v>461</v>
      </c>
    </row>
    <row r="136" spans="1:9" x14ac:dyDescent="0.25">
      <c r="A136" s="628">
        <v>3.7</v>
      </c>
      <c r="B136" s="631" t="s">
        <v>15</v>
      </c>
      <c r="C136" s="606" t="s">
        <v>80</v>
      </c>
      <c r="D136" s="148">
        <v>1.05</v>
      </c>
      <c r="E136" s="149"/>
      <c r="F136" s="149"/>
      <c r="G136" s="150">
        <v>1</v>
      </c>
      <c r="H136" s="149">
        <f>IF(C136=$M$5,G136,IF(C136=$M$6,D136*G136,IF((C136=$M$7),D136*E136*G136,IF(C136=$M$8,D136*E136*F136*G136,G136))))</f>
        <v>1.05</v>
      </c>
      <c r="I136" s="123" t="s">
        <v>469</v>
      </c>
    </row>
    <row r="137" spans="1:9" x14ac:dyDescent="0.25">
      <c r="A137" s="628"/>
      <c r="B137" s="631"/>
      <c r="C137" s="606"/>
      <c r="D137" s="140">
        <v>0.95</v>
      </c>
      <c r="E137" s="141"/>
      <c r="F137" s="141"/>
      <c r="G137" s="142">
        <v>1</v>
      </c>
      <c r="H137" s="141">
        <f>IF(C136=$M$5,G137,IF(C136=$M$6,D137*G137,IF((C136=$M$7),D137*E137*G137,IF(C136=$M$8,D137*E137*F137*G137,G137))))</f>
        <v>0.95</v>
      </c>
      <c r="I137" s="121" t="s">
        <v>470</v>
      </c>
    </row>
    <row r="138" spans="1:9" x14ac:dyDescent="0.25">
      <c r="A138" s="628"/>
      <c r="B138" s="631"/>
      <c r="C138" s="606"/>
      <c r="D138" s="140">
        <v>1.05</v>
      </c>
      <c r="E138" s="141"/>
      <c r="F138" s="141"/>
      <c r="G138" s="142">
        <v>1</v>
      </c>
      <c r="H138" s="141">
        <f>IF(C136=$M$5,G138,IF(C136=$M$6,D138*G138,IF((C136=$M$7),D138*E138*G138,IF(C136=$M$8,D138*E138*F138*G138,G138))))</f>
        <v>1.05</v>
      </c>
      <c r="I138" s="121" t="s">
        <v>471</v>
      </c>
    </row>
    <row r="139" spans="1:9" x14ac:dyDescent="0.25">
      <c r="A139" s="628"/>
      <c r="B139" s="631"/>
      <c r="C139" s="606"/>
      <c r="D139" s="140">
        <v>0.95</v>
      </c>
      <c r="E139" s="141"/>
      <c r="F139" s="141"/>
      <c r="G139" s="142">
        <v>1</v>
      </c>
      <c r="H139" s="141">
        <f>IF(C136=$M$5,G139,IF(C136=$M$6,D139*G139,IF((C136=$M$7),D139*E139*G139,IF(C136=$M$8,D139*E139*F139*G139,G139))))</f>
        <v>0.95</v>
      </c>
      <c r="I139" s="121" t="s">
        <v>472</v>
      </c>
    </row>
    <row r="140" spans="1:9" x14ac:dyDescent="0.25">
      <c r="A140" s="628"/>
      <c r="B140" s="631"/>
      <c r="C140" s="606"/>
      <c r="D140" s="140">
        <v>1.05</v>
      </c>
      <c r="E140" s="141"/>
      <c r="F140" s="141"/>
      <c r="G140" s="142">
        <v>2</v>
      </c>
      <c r="H140" s="141">
        <f>IF(C136=$M$5,G140,IF(C136=$M$6,D140*G140,IF((C136=$M$7),D140*E140*G140,IF(C136=$M$8,D140*E140*F140*G140,G140))))</f>
        <v>2.1</v>
      </c>
      <c r="I140" s="121" t="s">
        <v>473</v>
      </c>
    </row>
    <row r="141" spans="1:9" x14ac:dyDescent="0.25">
      <c r="A141" s="628"/>
      <c r="B141" s="631"/>
      <c r="C141" s="606"/>
      <c r="D141" s="140">
        <v>0.85</v>
      </c>
      <c r="E141" s="141"/>
      <c r="F141" s="141"/>
      <c r="G141" s="142">
        <v>2</v>
      </c>
      <c r="H141" s="141">
        <f>IF(C136=$M$5,G141,IF(C136=$M$6,D141*G141,IF((C136=$M$7),D141*E141*G141,IF(C136=$M$8,D141*E141*F141*G141,G141))))</f>
        <v>1.7</v>
      </c>
      <c r="I141" s="121" t="s">
        <v>474</v>
      </c>
    </row>
    <row r="142" spans="1:9" x14ac:dyDescent="0.25">
      <c r="A142" s="629"/>
      <c r="B142" s="632"/>
      <c r="C142" s="636"/>
      <c r="D142" s="633"/>
      <c r="E142" s="634"/>
      <c r="F142" s="634"/>
      <c r="G142" s="635"/>
      <c r="H142" s="143">
        <f>SUM(H136:H141)</f>
        <v>7.8</v>
      </c>
      <c r="I142" s="129" t="s">
        <v>461</v>
      </c>
    </row>
    <row r="143" spans="1:9" x14ac:dyDescent="0.25">
      <c r="A143" s="650">
        <v>3.8</v>
      </c>
      <c r="B143" s="631" t="s">
        <v>616</v>
      </c>
      <c r="C143" s="606" t="s">
        <v>71</v>
      </c>
      <c r="D143" s="148">
        <v>12.08</v>
      </c>
      <c r="E143" s="149">
        <v>1</v>
      </c>
      <c r="F143" s="149">
        <v>0.1</v>
      </c>
      <c r="G143" s="150">
        <v>1</v>
      </c>
      <c r="H143" s="149">
        <f>IF(C143=$M$5,G143,IF(C143=$M$6,D143*G143,IF((C143=$M$7),D143*E143*G143,IF(C143=$M$8,D143*E143*F143*G143,G143))))</f>
        <v>1.2080000000000002</v>
      </c>
      <c r="I143" s="123" t="s">
        <v>475</v>
      </c>
    </row>
    <row r="144" spans="1:9" x14ac:dyDescent="0.25">
      <c r="A144" s="650"/>
      <c r="B144" s="631"/>
      <c r="C144" s="606"/>
      <c r="D144" s="148">
        <v>12.08</v>
      </c>
      <c r="E144" s="141">
        <v>1</v>
      </c>
      <c r="F144" s="141">
        <v>0.1</v>
      </c>
      <c r="G144" s="142">
        <v>1</v>
      </c>
      <c r="H144" s="141">
        <f>IF(C143=$M$5,G144,IF(C143=$M$6,D144*G144,IF((C143=$M$7),D144*E144*G144,IF(C143=$M$8,D144*E144*F144*G144,G144))))</f>
        <v>1.2080000000000002</v>
      </c>
      <c r="I144" s="121" t="s">
        <v>476</v>
      </c>
    </row>
    <row r="145" spans="1:9" x14ac:dyDescent="0.25">
      <c r="A145" s="650"/>
      <c r="B145" s="631"/>
      <c r="C145" s="606"/>
      <c r="D145" s="140">
        <v>11.73</v>
      </c>
      <c r="E145" s="141">
        <v>1</v>
      </c>
      <c r="F145" s="141">
        <v>0.1</v>
      </c>
      <c r="G145" s="142">
        <v>1</v>
      </c>
      <c r="H145" s="141">
        <f>IF(C143=$M$5,G145,IF(C143=$M$6,D145*G145,IF((C143=$M$7),D145*E145*G145,IF(C143=$M$8,D145*E145*F145*G145,G145))))</f>
        <v>1.173</v>
      </c>
      <c r="I145" s="121" t="s">
        <v>477</v>
      </c>
    </row>
    <row r="146" spans="1:9" x14ac:dyDescent="0.25">
      <c r="A146" s="651"/>
      <c r="B146" s="632"/>
      <c r="C146" s="636"/>
      <c r="D146" s="655" t="s">
        <v>461</v>
      </c>
      <c r="E146" s="656"/>
      <c r="F146" s="656"/>
      <c r="G146" s="657"/>
      <c r="H146" s="143">
        <f>H143+H145</f>
        <v>2.3810000000000002</v>
      </c>
      <c r="I146" s="129" t="s">
        <v>461</v>
      </c>
    </row>
    <row r="147" spans="1:9" x14ac:dyDescent="0.25">
      <c r="A147" s="645">
        <v>3.1</v>
      </c>
      <c r="B147" s="640" t="s">
        <v>478</v>
      </c>
      <c r="C147" s="605" t="s">
        <v>75</v>
      </c>
      <c r="D147" s="140">
        <v>2.34</v>
      </c>
      <c r="E147" s="141">
        <v>0.6</v>
      </c>
      <c r="F147" s="141"/>
      <c r="G147" s="142">
        <v>1</v>
      </c>
      <c r="H147" s="141">
        <f>IF(C147=$M$5,G147,IF(C147=$M$6,D147*G147,IF((C147=$M$7),D147*E147*G147,IF(C147=$M$8,D147*E147*F147*G147,G147))))</f>
        <v>1.4039999999999999</v>
      </c>
      <c r="I147" s="121" t="s">
        <v>479</v>
      </c>
    </row>
    <row r="148" spans="1:9" x14ac:dyDescent="0.25">
      <c r="A148" s="637"/>
      <c r="B148" s="631"/>
      <c r="C148" s="606"/>
      <c r="D148" s="140">
        <v>2.34</v>
      </c>
      <c r="E148" s="141">
        <v>0.6</v>
      </c>
      <c r="F148" s="141"/>
      <c r="G148" s="142">
        <v>1</v>
      </c>
      <c r="H148" s="141">
        <f>IF(C147=$M$5,G148,IF(C147=$M$6,D148*G148,IF((C147=$M$7),D148*E148*G148,IF(C147=$M$8,D148*E148*F148*G148,G148))))</f>
        <v>1.4039999999999999</v>
      </c>
      <c r="I148" s="121" t="s">
        <v>480</v>
      </c>
    </row>
    <row r="149" spans="1:9" x14ac:dyDescent="0.25">
      <c r="A149" s="638"/>
      <c r="B149" s="632"/>
      <c r="C149" s="636"/>
      <c r="D149" s="655" t="s">
        <v>461</v>
      </c>
      <c r="E149" s="656"/>
      <c r="F149" s="656"/>
      <c r="G149" s="657"/>
      <c r="H149" s="143">
        <f>H147+H148</f>
        <v>2.8079999999999998</v>
      </c>
      <c r="I149" s="129" t="s">
        <v>461</v>
      </c>
    </row>
    <row r="150" spans="1:9" x14ac:dyDescent="0.25">
      <c r="A150" s="645">
        <v>3.11</v>
      </c>
      <c r="B150" s="640" t="s">
        <v>481</v>
      </c>
      <c r="C150" s="605" t="s">
        <v>71</v>
      </c>
      <c r="D150" s="140">
        <v>26</v>
      </c>
      <c r="E150" s="141">
        <v>5.0999999999999996</v>
      </c>
      <c r="F150" s="141">
        <v>0.1</v>
      </c>
      <c r="G150" s="142">
        <v>1</v>
      </c>
      <c r="H150" s="141">
        <f>IF(C150=$M$5,G150,IF(C150=$M$6,D150*G150,IF((C150=$M$7),D150*E150*G150,IF(C150=$M$8,D150*E150*F150*G150,G150))))</f>
        <v>13.26</v>
      </c>
      <c r="I150" s="121" t="s">
        <v>482</v>
      </c>
    </row>
    <row r="151" spans="1:9" x14ac:dyDescent="0.25">
      <c r="A151" s="637"/>
      <c r="B151" s="631"/>
      <c r="C151" s="606"/>
      <c r="D151" s="140">
        <v>26</v>
      </c>
      <c r="E151" s="141">
        <v>2.8</v>
      </c>
      <c r="F151" s="141">
        <v>0.1</v>
      </c>
      <c r="G151" s="142">
        <v>1</v>
      </c>
      <c r="H151" s="141">
        <f>IF(C150=$M$5,G151,IF(C150=$M$6,D151*G151,IF((C150=$M$7),D151*E151*G151,IF(C150=$M$8,D151*E151*F151*G151,G151))))</f>
        <v>7.28</v>
      </c>
      <c r="I151" s="121" t="s">
        <v>483</v>
      </c>
    </row>
    <row r="152" spans="1:9" x14ac:dyDescent="0.25">
      <c r="A152" s="638"/>
      <c r="B152" s="632"/>
      <c r="C152" s="636"/>
      <c r="D152" s="655" t="s">
        <v>461</v>
      </c>
      <c r="E152" s="656"/>
      <c r="F152" s="656"/>
      <c r="G152" s="657"/>
      <c r="H152" s="143">
        <f>H150+H151</f>
        <v>20.54</v>
      </c>
      <c r="I152" s="129" t="s">
        <v>461</v>
      </c>
    </row>
    <row r="153" spans="1:9" x14ac:dyDescent="0.25">
      <c r="A153" s="628">
        <v>3.11</v>
      </c>
      <c r="B153" s="631" t="s">
        <v>466</v>
      </c>
      <c r="C153" s="606" t="s">
        <v>75</v>
      </c>
      <c r="D153" s="148">
        <v>1.64</v>
      </c>
      <c r="E153" s="149">
        <v>1</v>
      </c>
      <c r="F153" s="149"/>
      <c r="G153" s="150">
        <v>1</v>
      </c>
      <c r="H153" s="149">
        <f>IF(C153=$M$5,G153,IF(C153=$M$6,D153*G153,IF((C153=$M$7),D153*E153*G153,IF(C153=$M$8,D153*E153*F153*G153,G153))))</f>
        <v>1.64</v>
      </c>
      <c r="I153" s="121" t="s">
        <v>467</v>
      </c>
    </row>
    <row r="154" spans="1:9" x14ac:dyDescent="0.25">
      <c r="A154" s="628"/>
      <c r="B154" s="631"/>
      <c r="C154" s="606"/>
      <c r="D154" s="140">
        <v>3</v>
      </c>
      <c r="E154" s="141">
        <v>2</v>
      </c>
      <c r="F154" s="141"/>
      <c r="G154" s="142">
        <v>2</v>
      </c>
      <c r="H154" s="141">
        <f>IF(C153=$M$5,G154,IF(C153=$M$6,D154*G154,IF((C153=$M$7),D154*E154*G154,IF(C153=$M$8,D154*E154*F154*G154,G154))))</f>
        <v>12</v>
      </c>
      <c r="I154" s="121" t="s">
        <v>468</v>
      </c>
    </row>
    <row r="155" spans="1:9" x14ac:dyDescent="0.25">
      <c r="A155" s="629"/>
      <c r="B155" s="632"/>
      <c r="C155" s="636"/>
      <c r="D155" s="633"/>
      <c r="E155" s="634"/>
      <c r="F155" s="634"/>
      <c r="G155" s="635"/>
      <c r="H155" s="143">
        <f>SUM(H153:H154)</f>
        <v>13.64</v>
      </c>
      <c r="I155" s="129" t="s">
        <v>461</v>
      </c>
    </row>
    <row r="156" spans="1:9" ht="25.5" x14ac:dyDescent="0.25">
      <c r="A156" s="628">
        <v>3.12</v>
      </c>
      <c r="B156" s="631" t="s">
        <v>617</v>
      </c>
      <c r="C156" s="606" t="s">
        <v>71</v>
      </c>
      <c r="D156" s="148">
        <v>2.6749999999999998</v>
      </c>
      <c r="E156" s="149">
        <v>0.25</v>
      </c>
      <c r="F156" s="149">
        <v>0.35</v>
      </c>
      <c r="G156" s="150">
        <v>3</v>
      </c>
      <c r="H156" s="149">
        <f>IF(C156=$M$5,G156,IF(C156=$M$6,D156*G156,IF((C156=$M$7),D156*E156*G156,IF(C156=$M$8,D156*E156*F156*G156,G156))))</f>
        <v>0.70218749999999996</v>
      </c>
      <c r="I156" s="123" t="s">
        <v>618</v>
      </c>
    </row>
    <row r="157" spans="1:9" x14ac:dyDescent="0.25">
      <c r="A157" s="628"/>
      <c r="B157" s="631"/>
      <c r="C157" s="606"/>
      <c r="D157" s="140">
        <v>2.625</v>
      </c>
      <c r="E157" s="149">
        <v>0.25</v>
      </c>
      <c r="F157" s="149">
        <v>0.35</v>
      </c>
      <c r="G157" s="142">
        <v>1</v>
      </c>
      <c r="H157" s="141">
        <f>IF(C156=$M$5,G157,IF(C156=$M$6,D157*G157,IF((C156=$M$7),D157*E157*G157,IF(C156=$M$8,D157*E157*F157*G157,G157))))</f>
        <v>0.22968749999999999</v>
      </c>
      <c r="I157" s="123" t="s">
        <v>619</v>
      </c>
    </row>
    <row r="158" spans="1:9" x14ac:dyDescent="0.25">
      <c r="A158" s="628"/>
      <c r="B158" s="631"/>
      <c r="C158" s="606"/>
      <c r="D158" s="140">
        <v>2.6530999999999998</v>
      </c>
      <c r="E158" s="149">
        <v>0.25</v>
      </c>
      <c r="F158" s="149">
        <v>0.35</v>
      </c>
      <c r="G158" s="142">
        <v>1</v>
      </c>
      <c r="H158" s="141">
        <f>IF(C156=$M$5,G158,IF(C156=$M$6,D158*G158,IF((C156=$M$7),D158*E158*G158,IF(C156=$M$8,D158*E158*F158*G158,G158))))</f>
        <v>0.23214624999999997</v>
      </c>
      <c r="I158" s="123" t="s">
        <v>620</v>
      </c>
    </row>
    <row r="159" spans="1:9" x14ac:dyDescent="0.25">
      <c r="A159" s="628"/>
      <c r="B159" s="631"/>
      <c r="C159" s="606"/>
      <c r="D159" s="140">
        <v>2.6469</v>
      </c>
      <c r="E159" s="149">
        <v>0.25</v>
      </c>
      <c r="F159" s="149">
        <v>0.35</v>
      </c>
      <c r="G159" s="142">
        <v>1</v>
      </c>
      <c r="H159" s="141">
        <f>IF(C156=$M$5,G159,IF(C156=$M$6,D159*G159,IF((C156=$M$7),D159*E159*G159,IF(C156=$M$8,D159*E159*F159*G159,G159))))</f>
        <v>0.23160375</v>
      </c>
      <c r="I159" s="123" t="s">
        <v>621</v>
      </c>
    </row>
    <row r="160" spans="1:9" x14ac:dyDescent="0.25">
      <c r="A160" s="628"/>
      <c r="B160" s="631"/>
      <c r="C160" s="606"/>
      <c r="D160" s="140">
        <v>2.65</v>
      </c>
      <c r="E160" s="149">
        <v>0.25</v>
      </c>
      <c r="F160" s="149">
        <v>0.35</v>
      </c>
      <c r="G160" s="142">
        <v>2</v>
      </c>
      <c r="H160" s="141">
        <f>IF(C156=$M$5,G160,IF(C156=$M$6,D160*G160,IF((C156=$M$7),D160*E160*G160,IF(C156=$M$8,D160*E160*F160*G160,G160))))</f>
        <v>0.46374999999999994</v>
      </c>
      <c r="I160" s="123" t="s">
        <v>622</v>
      </c>
    </row>
    <row r="161" spans="1:17" x14ac:dyDescent="0.25">
      <c r="A161" s="628"/>
      <c r="B161" s="631"/>
      <c r="C161" s="606"/>
      <c r="D161" s="140">
        <v>2.7</v>
      </c>
      <c r="E161" s="149">
        <v>0.25</v>
      </c>
      <c r="F161" s="149">
        <v>0.35</v>
      </c>
      <c r="G161" s="142">
        <v>2</v>
      </c>
      <c r="H161" s="141">
        <f>IF(C156=$M$5,G161,IF(C156=$M$6,D161*G161,IF((C156=$M$7),D161*E161*G161,IF(C156=$M$8,D161*E161*F161*G161,G161))))</f>
        <v>0.47249999999999998</v>
      </c>
      <c r="I161" s="123" t="s">
        <v>623</v>
      </c>
    </row>
    <row r="162" spans="1:17" ht="25.5" x14ac:dyDescent="0.25">
      <c r="A162" s="628"/>
      <c r="B162" s="631"/>
      <c r="C162" s="606"/>
      <c r="D162" s="140">
        <v>3.9</v>
      </c>
      <c r="E162" s="149">
        <v>0.25</v>
      </c>
      <c r="F162" s="149">
        <v>0.35</v>
      </c>
      <c r="G162" s="142">
        <v>3</v>
      </c>
      <c r="H162" s="141">
        <f>IF(C156=$M$5,G162,IF(C156=$M$6,D162*G162,IF((C156=$M$7),D162*E162*G162,IF(C156=$M$8,D162*E162*F162*G162,G162))))</f>
        <v>1.0237499999999999</v>
      </c>
      <c r="I162" s="123" t="s">
        <v>624</v>
      </c>
    </row>
    <row r="163" spans="1:17" x14ac:dyDescent="0.25">
      <c r="A163" s="628"/>
      <c r="B163" s="631"/>
      <c r="C163" s="606"/>
      <c r="D163" s="140">
        <v>3.5</v>
      </c>
      <c r="E163" s="149">
        <v>0.25</v>
      </c>
      <c r="F163" s="149">
        <v>0.35</v>
      </c>
      <c r="G163" s="142">
        <v>2</v>
      </c>
      <c r="H163" s="141">
        <f>IF(C156=$M$5,G163,IF(C156=$M$6,D163*G163,IF((C156=$M$7),D163*E163*G163,IF(C156=$M$8,D163*E163*F163*G163,G163))))</f>
        <v>0.61249999999999993</v>
      </c>
      <c r="I163" s="123" t="s">
        <v>625</v>
      </c>
    </row>
    <row r="164" spans="1:17" x14ac:dyDescent="0.25">
      <c r="A164" s="628"/>
      <c r="B164" s="631"/>
      <c r="C164" s="606"/>
      <c r="D164" s="140">
        <v>1.7250000000000001</v>
      </c>
      <c r="E164" s="149">
        <v>0.25</v>
      </c>
      <c r="F164" s="149">
        <v>0.35</v>
      </c>
      <c r="G164" s="142">
        <v>1</v>
      </c>
      <c r="H164" s="141">
        <f>IF(C156=$M$5,G164,IF(C156=$M$6,D164*G164,IF((C156=$M$7),D164*E164*G164,IF(C156=$M$8,D164*E164*F164*G164,G164))))</f>
        <v>0.1509375</v>
      </c>
      <c r="I164" s="123" t="s">
        <v>626</v>
      </c>
    </row>
    <row r="165" spans="1:17" x14ac:dyDescent="0.25">
      <c r="A165" s="628"/>
      <c r="B165" s="631"/>
      <c r="C165" s="606"/>
      <c r="D165" s="140">
        <v>1.425</v>
      </c>
      <c r="E165" s="149">
        <v>0.25</v>
      </c>
      <c r="F165" s="149">
        <v>0.35</v>
      </c>
      <c r="G165" s="142">
        <v>2</v>
      </c>
      <c r="H165" s="141">
        <f>IF(C156=$M$5,G165,IF(C156=$M$6,D165*G165,IF((C156=$M$7),D165*E165*G165,IF(C156=$M$8,D165*E165*F165*G165,G165))))</f>
        <v>0.24937499999999999</v>
      </c>
      <c r="I165" s="123" t="s">
        <v>627</v>
      </c>
    </row>
    <row r="166" spans="1:17" x14ac:dyDescent="0.25">
      <c r="A166" s="628"/>
      <c r="B166" s="631"/>
      <c r="C166" s="606"/>
      <c r="D166" s="140">
        <v>1.7</v>
      </c>
      <c r="E166" s="149">
        <v>0.25</v>
      </c>
      <c r="F166" s="149">
        <v>0.35</v>
      </c>
      <c r="G166" s="142">
        <v>1</v>
      </c>
      <c r="H166" s="141">
        <f>IF(C156=$M$5,G166,IF(C156=$M$6,D166*G166,IF((C156=$M$7),D166*E166*G166,IF(C156=$M$8,D166*E166*F166*G166,G166))))</f>
        <v>0.14874999999999999</v>
      </c>
      <c r="I166" s="123" t="s">
        <v>628</v>
      </c>
    </row>
    <row r="167" spans="1:17" ht="25.5" x14ac:dyDescent="0.25">
      <c r="A167" s="628"/>
      <c r="B167" s="631"/>
      <c r="C167" s="606"/>
      <c r="D167" s="140">
        <f>3.5+5.6+5.6+5.6+3.5</f>
        <v>23.799999999999997</v>
      </c>
      <c r="E167" s="141">
        <v>0.3</v>
      </c>
      <c r="F167" s="149">
        <v>0.45</v>
      </c>
      <c r="G167" s="142">
        <v>2</v>
      </c>
      <c r="H167" s="141">
        <f>IF(C156=$M$5,G167,IF(C156=$M$6,D167*G167,IF((C156=$M$7),D167*E167*G167,IF(C156=$M$8,D167*E167*F167*G167,G167))))</f>
        <v>6.4259999999999993</v>
      </c>
      <c r="I167" s="121" t="s">
        <v>629</v>
      </c>
    </row>
    <row r="168" spans="1:17" ht="38.25" x14ac:dyDescent="0.25">
      <c r="A168" s="628"/>
      <c r="B168" s="631"/>
      <c r="C168" s="606"/>
      <c r="D168" s="140">
        <f>3.55+5.7+5.7+5.7+3.55</f>
        <v>24.2</v>
      </c>
      <c r="E168" s="141">
        <v>0.15</v>
      </c>
      <c r="F168" s="149">
        <v>0.45</v>
      </c>
      <c r="G168" s="142">
        <v>6</v>
      </c>
      <c r="H168" s="141">
        <f>IF(C156=$M$5,G168,IF(C156=$M$6,D168*G168,IF((C156=$M$7),D168*E168*G168,IF(C156=$M$8,D168*E168*F168*G168,G168))))</f>
        <v>9.8010000000000002</v>
      </c>
      <c r="I168" s="121" t="s">
        <v>630</v>
      </c>
    </row>
    <row r="169" spans="1:17" ht="25.5" x14ac:dyDescent="0.25">
      <c r="A169" s="628"/>
      <c r="B169" s="631"/>
      <c r="C169" s="606"/>
      <c r="D169" s="140">
        <v>5.7329999999999997</v>
      </c>
      <c r="E169" s="141">
        <v>0.3</v>
      </c>
      <c r="F169" s="149">
        <v>0.45</v>
      </c>
      <c r="G169" s="142">
        <v>4</v>
      </c>
      <c r="H169" s="141">
        <f>IF(C156=$M$5,G169,IF(C156=$M$6,D169*G169,IF((C156=$M$7),D169*E169*G169,IF(C156=$M$8,D169*E169*F169*G169,G169))))</f>
        <v>3.0958199999999998</v>
      </c>
      <c r="I169" s="121" t="s">
        <v>631</v>
      </c>
    </row>
    <row r="170" spans="1:17" ht="25.5" x14ac:dyDescent="0.25">
      <c r="A170" s="628"/>
      <c r="B170" s="631"/>
      <c r="C170" s="606"/>
      <c r="D170" s="140">
        <v>5.7329999999999997</v>
      </c>
      <c r="E170" s="141">
        <v>0.3</v>
      </c>
      <c r="F170" s="149">
        <v>0.45</v>
      </c>
      <c r="G170" s="142">
        <v>2</v>
      </c>
      <c r="H170" s="141">
        <f>IF(C156=$M$5,G170,IF(C156=$M$6,D170*G170,IF((C156=$M$7),D170*E170*G170,IF(C156=$M$8,D170*E170*F170*G170,G170))))</f>
        <v>1.5479099999999999</v>
      </c>
      <c r="I170" s="121" t="s">
        <v>632</v>
      </c>
    </row>
    <row r="171" spans="1:17" ht="15.75" thickBot="1" x14ac:dyDescent="0.3">
      <c r="A171" s="629"/>
      <c r="B171" s="632"/>
      <c r="C171" s="636"/>
      <c r="D171" s="633"/>
      <c r="E171" s="634"/>
      <c r="F171" s="634"/>
      <c r="G171" s="635"/>
      <c r="H171" s="143">
        <f>SUM(H156:H170)</f>
        <v>25.3879175</v>
      </c>
      <c r="I171" s="129" t="s">
        <v>461</v>
      </c>
    </row>
    <row r="172" spans="1:17" ht="15.75" thickBot="1" x14ac:dyDescent="0.3">
      <c r="A172" s="106">
        <v>4</v>
      </c>
      <c r="B172" s="625" t="s">
        <v>484</v>
      </c>
      <c r="C172" s="625"/>
      <c r="D172" s="625"/>
      <c r="E172" s="625"/>
      <c r="F172" s="625"/>
      <c r="G172" s="625"/>
      <c r="H172" s="625"/>
      <c r="I172" s="626"/>
    </row>
    <row r="173" spans="1:17" ht="25.5" customHeight="1" x14ac:dyDescent="0.25">
      <c r="A173" s="612">
        <v>4.0999999999999996</v>
      </c>
      <c r="B173" s="611" t="s">
        <v>633</v>
      </c>
      <c r="C173" s="615" t="s">
        <v>173</v>
      </c>
      <c r="D173" s="136"/>
      <c r="E173" s="137"/>
      <c r="F173" s="137"/>
      <c r="G173" s="138">
        <v>4176.5600000000004</v>
      </c>
      <c r="H173" s="137">
        <f>IF(C173=$M$5,G173,IF(C173=$M$6,D173*G173,IF((C173=$M$7),D173*E173*G173,IF(C173=$M$8,D173*E173*F173*G173,G173))))</f>
        <v>4176.5600000000004</v>
      </c>
      <c r="I173" s="128" t="s">
        <v>874</v>
      </c>
      <c r="J173" s="368"/>
      <c r="N173" s="101">
        <v>26</v>
      </c>
      <c r="O173" s="101">
        <v>0.7</v>
      </c>
      <c r="P173" s="101">
        <v>6</v>
      </c>
      <c r="Q173" s="101">
        <f>+P173*O173*N173</f>
        <v>109.19999999999999</v>
      </c>
    </row>
    <row r="174" spans="1:17" x14ac:dyDescent="0.25">
      <c r="A174" s="613"/>
      <c r="B174" s="603"/>
      <c r="C174" s="606"/>
      <c r="D174" s="140"/>
      <c r="E174" s="141"/>
      <c r="F174" s="141"/>
      <c r="G174" s="142">
        <f>302.09+302.09</f>
        <v>604.17999999999995</v>
      </c>
      <c r="H174" s="141">
        <f>IF(C173=$M$5,G174,IF(C173=$M$6,D174*G174,IF((C173=$M$7),D174*E174*G174,IF(C173=$M$8,D174*E174*F174*G174,G174))))</f>
        <v>604.17999999999995</v>
      </c>
      <c r="I174" s="121" t="s">
        <v>873</v>
      </c>
      <c r="J174" s="369"/>
      <c r="N174" s="101">
        <v>26</v>
      </c>
      <c r="O174" s="101">
        <v>0.9</v>
      </c>
      <c r="P174" s="101">
        <v>1</v>
      </c>
      <c r="Q174" s="101">
        <f>+P174*O174*N174</f>
        <v>23.400000000000002</v>
      </c>
    </row>
    <row r="175" spans="1:17" x14ac:dyDescent="0.25">
      <c r="A175" s="613"/>
      <c r="B175" s="603"/>
      <c r="C175" s="606"/>
      <c r="D175" s="140"/>
      <c r="E175" s="141"/>
      <c r="F175" s="141"/>
      <c r="G175" s="142">
        <v>279.18</v>
      </c>
      <c r="H175" s="141">
        <f>IF(C174=$M$5,G175,IF(C174=$M$6,D175*G175,IF((C174=$M$7),D175*E175*G175,IF(C174=$M$8,D175*E175*F175*G175,G175))))</f>
        <v>279.18</v>
      </c>
      <c r="I175" s="121" t="s">
        <v>464</v>
      </c>
      <c r="J175" s="369"/>
      <c r="Q175" s="101">
        <f>+Q174+Q173</f>
        <v>132.6</v>
      </c>
    </row>
    <row r="176" spans="1:17" ht="15.75" thickBot="1" x14ac:dyDescent="0.3">
      <c r="A176" s="614"/>
      <c r="B176" s="604"/>
      <c r="C176" s="607"/>
      <c r="D176" s="608"/>
      <c r="E176" s="609"/>
      <c r="F176" s="609"/>
      <c r="G176" s="610"/>
      <c r="H176" s="147">
        <f>SUM(H173:H175)</f>
        <v>5059.920000000001</v>
      </c>
      <c r="I176" s="335" t="s">
        <v>461</v>
      </c>
      <c r="J176" s="370"/>
      <c r="Q176" s="101">
        <f>+Q175*42.18/11.7</f>
        <v>478.03999999999996</v>
      </c>
    </row>
    <row r="177" spans="1:17" x14ac:dyDescent="0.25">
      <c r="A177" s="628">
        <v>4.2</v>
      </c>
      <c r="B177" s="631" t="s">
        <v>18</v>
      </c>
      <c r="C177" s="606" t="s">
        <v>173</v>
      </c>
      <c r="D177" s="148"/>
      <c r="E177" s="149"/>
      <c r="F177" s="149"/>
      <c r="G177" s="150">
        <v>3101.9</v>
      </c>
      <c r="H177" s="149">
        <f>IF(C177=$M$5,G177,IF(C177=$M$6,D177*G177,IF((C177=$M$7),D177*E177*G177,IF(C177=$M$8,D177*E177*F177*G177,G177))))</f>
        <v>3101.9</v>
      </c>
      <c r="I177" s="123" t="s">
        <v>634</v>
      </c>
      <c r="J177" s="371">
        <f>+'PRESUPUESTO RESUMEN'!D16</f>
        <v>34.471999999999994</v>
      </c>
      <c r="K177" s="101">
        <f>+H177/J177</f>
        <v>89.983174750522181</v>
      </c>
    </row>
    <row r="178" spans="1:17" x14ac:dyDescent="0.25">
      <c r="A178" s="628"/>
      <c r="B178" s="631"/>
      <c r="C178" s="606"/>
      <c r="D178" s="140"/>
      <c r="E178" s="141"/>
      <c r="F178" s="149"/>
      <c r="G178" s="142">
        <f>2032.2+2383.2</f>
        <v>4415.3999999999996</v>
      </c>
      <c r="H178" s="141">
        <f>IF(C177=$M$5,G178,IF(C177=$M$6,D178*G178,IF((C177=$M$7),D178*E178*G178,IF(C177=$M$8,D178*E178*F178*G178,G178))))</f>
        <v>4415.3999999999996</v>
      </c>
      <c r="I178" s="121" t="s">
        <v>635</v>
      </c>
      <c r="J178" s="371">
        <f>+'PRESUPUESTO RESUMEN'!D17+'PRESUPUESTO RESUMEN'!D19</f>
        <v>20.575357999999998</v>
      </c>
      <c r="K178" s="101">
        <f>+H178/J178</f>
        <v>214.59650908625747</v>
      </c>
      <c r="Q178" s="101">
        <f>60*42.18/11.7</f>
        <v>216.30769230769235</v>
      </c>
    </row>
    <row r="179" spans="1:17" x14ac:dyDescent="0.25">
      <c r="A179" s="628"/>
      <c r="B179" s="631"/>
      <c r="C179" s="606"/>
      <c r="D179" s="140"/>
      <c r="E179" s="141"/>
      <c r="F179" s="149"/>
      <c r="G179" s="142">
        <v>2485.1999999999998</v>
      </c>
      <c r="H179" s="141">
        <f>IF(C177=$M$5,G179,IF(C177=$M$6,D179*G179,IF((C177=$M$7),D179*E179*G179,IF(C177=$M$8,D179*E179*F179*G179,G179))))</f>
        <v>2485.1999999999998</v>
      </c>
      <c r="I179" s="121" t="s">
        <v>636</v>
      </c>
      <c r="J179" s="101">
        <f>+'PRESUPUESTO RESUMEN'!D24</f>
        <v>20.54</v>
      </c>
      <c r="K179" s="101">
        <f t="shared" ref="K179:K181" si="0">+H179/J179</f>
        <v>120.99318403115871</v>
      </c>
    </row>
    <row r="180" spans="1:17" x14ac:dyDescent="0.25">
      <c r="A180" s="628"/>
      <c r="B180" s="631"/>
      <c r="C180" s="606"/>
      <c r="D180" s="140"/>
      <c r="E180" s="141"/>
      <c r="F180" s="149"/>
      <c r="G180" s="142">
        <v>639.4</v>
      </c>
      <c r="H180" s="141">
        <f>IF(C177=$M$5,G180,IF(C177=$M$6,D180*G180,IF((C177=$M$7),D180*E180*G180,IF(C177=$M$8,D180*E180*F180*G180,G180))))</f>
        <v>639.4</v>
      </c>
      <c r="I180" s="121" t="s">
        <v>637</v>
      </c>
      <c r="J180" s="371">
        <f>+'PRESUPUESTO RESUMEN'!D20</f>
        <v>59.050000000000004</v>
      </c>
      <c r="K180" s="101">
        <f t="shared" si="0"/>
        <v>10.828111769686705</v>
      </c>
    </row>
    <row r="181" spans="1:17" x14ac:dyDescent="0.25">
      <c r="A181" s="628"/>
      <c r="B181" s="631"/>
      <c r="C181" s="606"/>
      <c r="D181" s="140"/>
      <c r="E181" s="141"/>
      <c r="F181" s="149"/>
      <c r="G181" s="142">
        <v>368.6</v>
      </c>
      <c r="H181" s="141">
        <f>IF(C177=$M$5,G181,IF(C177=$M$6,D181*G181,IF((C177=$M$7),D181*E181*G181,IF(C177=$M$8,D181*E181*F181*G181,G181))))</f>
        <v>368.6</v>
      </c>
      <c r="I181" s="121" t="s">
        <v>638</v>
      </c>
      <c r="J181" s="101">
        <f>+'PRESUPUESTO RESUMEN'!D25</f>
        <v>13.64</v>
      </c>
      <c r="K181" s="101">
        <f t="shared" si="0"/>
        <v>27.023460410557185</v>
      </c>
    </row>
    <row r="182" spans="1:17" x14ac:dyDescent="0.25">
      <c r="A182" s="628"/>
      <c r="B182" s="631"/>
      <c r="C182" s="606"/>
      <c r="D182" s="140"/>
      <c r="E182" s="141"/>
      <c r="F182" s="141"/>
      <c r="G182" s="142">
        <v>28.02</v>
      </c>
      <c r="H182" s="141">
        <f>IF(C177=$M$5,G182,IF(C177=$M$6,D182*G182,IF((C177=$M$7),D182*E182*G182,IF(C177=$M$8,D182*E182*F182*G182,G182))))</f>
        <v>28.02</v>
      </c>
      <c r="I182" s="121" t="s">
        <v>869</v>
      </c>
    </row>
    <row r="183" spans="1:17" x14ac:dyDescent="0.25">
      <c r="A183" s="628"/>
      <c r="B183" s="631"/>
      <c r="C183" s="606"/>
      <c r="D183" s="140"/>
      <c r="E183" s="141"/>
      <c r="F183" s="141"/>
      <c r="G183" s="142"/>
      <c r="H183" s="141">
        <f>+G183</f>
        <v>0</v>
      </c>
      <c r="I183" s="121" t="s">
        <v>933</v>
      </c>
      <c r="K183" s="334"/>
    </row>
    <row r="184" spans="1:17" x14ac:dyDescent="0.25">
      <c r="A184" s="628"/>
      <c r="B184" s="631"/>
      <c r="C184" s="606"/>
      <c r="D184" s="140"/>
      <c r="E184" s="141"/>
      <c r="F184" s="141"/>
      <c r="G184" s="142"/>
      <c r="H184" s="141"/>
      <c r="I184" s="121"/>
      <c r="K184" s="334"/>
    </row>
    <row r="185" spans="1:17" ht="15.75" thickBot="1" x14ac:dyDescent="0.3">
      <c r="A185" s="643"/>
      <c r="B185" s="644"/>
      <c r="C185" s="607"/>
      <c r="D185" s="652"/>
      <c r="E185" s="653"/>
      <c r="F185" s="653"/>
      <c r="G185" s="654"/>
      <c r="H185" s="147">
        <f>SUM(H177:H184)</f>
        <v>11038.52</v>
      </c>
      <c r="I185" s="335" t="s">
        <v>461</v>
      </c>
    </row>
    <row r="186" spans="1:17" x14ac:dyDescent="0.25">
      <c r="A186" s="106">
        <v>5</v>
      </c>
      <c r="B186" s="625" t="s">
        <v>256</v>
      </c>
      <c r="C186" s="625"/>
      <c r="D186" s="625"/>
      <c r="E186" s="625"/>
      <c r="F186" s="625"/>
      <c r="G186" s="625"/>
      <c r="H186" s="625"/>
      <c r="I186" s="626"/>
    </row>
    <row r="187" spans="1:17" ht="38.25" customHeight="1" x14ac:dyDescent="0.25">
      <c r="A187" s="639">
        <v>5.0999999999999996</v>
      </c>
      <c r="B187" s="640" t="s">
        <v>485</v>
      </c>
      <c r="C187" s="605" t="s">
        <v>75</v>
      </c>
      <c r="D187" s="140">
        <f>4.4+1.7+1.65</f>
        <v>7.75</v>
      </c>
      <c r="E187" s="141">
        <f>AVERAGE(0,0.54)</f>
        <v>0.27</v>
      </c>
      <c r="F187" s="141"/>
      <c r="G187" s="142">
        <v>2</v>
      </c>
      <c r="H187" s="141">
        <f>IF(C187=$M$5,G187,IF(C187=$M$6,D187*G187,IF((C187=$M$7),D187*E187*G187,IF(C187=$M$8,D187*E187*F187*G187,G187))))</f>
        <v>4.1850000000000005</v>
      </c>
      <c r="I187" s="121" t="s">
        <v>486</v>
      </c>
    </row>
    <row r="188" spans="1:17" x14ac:dyDescent="0.25">
      <c r="A188" s="628"/>
      <c r="B188" s="631"/>
      <c r="C188" s="606"/>
      <c r="D188" s="140">
        <f>3.5+5.6+0.09+0.09+1.05+2.86+1.17+12.78+2.3+2.73+3.15</f>
        <v>35.32</v>
      </c>
      <c r="E188" s="141">
        <f>AVERAGE(3.34,1.64)</f>
        <v>2.4899999999999998</v>
      </c>
      <c r="F188" s="141"/>
      <c r="G188" s="142">
        <v>1</v>
      </c>
      <c r="H188" s="141">
        <f>IF(C187=$M$5,G188,IF(C187=$M$6,D188*G188,IF((C187=$M$7),D188*E188*G188,IF(C187=$M$8,D188*E188*F188*G188,G188))))</f>
        <v>87.946799999999996</v>
      </c>
      <c r="I188" s="121" t="s">
        <v>487</v>
      </c>
      <c r="K188" s="101">
        <f>26*2+4*3</f>
        <v>64</v>
      </c>
      <c r="L188" s="101">
        <f>+K188*2.4</f>
        <v>153.6</v>
      </c>
    </row>
    <row r="189" spans="1:17" x14ac:dyDescent="0.25">
      <c r="A189" s="628"/>
      <c r="B189" s="631"/>
      <c r="C189" s="606"/>
      <c r="D189" s="140">
        <f>3.5+5.6+0.09+0.09+1.05+2.86+1.17+12.78+2.3+2.73+0.55+1.4</f>
        <v>34.119999999999997</v>
      </c>
      <c r="E189" s="141">
        <f>AVERAGE(3.34,1.64)</f>
        <v>2.4899999999999998</v>
      </c>
      <c r="F189" s="141"/>
      <c r="G189" s="142">
        <v>1</v>
      </c>
      <c r="H189" s="141">
        <f>IF(C187=$M$5,G189,IF(C187=$M$6,D189*G189,IF((C187=$M$7),D189*E189*G189,IF(C187=$M$8,D189*E189*F189*G189,G189))))</f>
        <v>84.958799999999982</v>
      </c>
      <c r="I189" s="121" t="s">
        <v>488</v>
      </c>
    </row>
    <row r="190" spans="1:17" ht="25.5" x14ac:dyDescent="0.25">
      <c r="A190" s="628"/>
      <c r="B190" s="631"/>
      <c r="C190" s="606"/>
      <c r="D190" s="140">
        <f>1.2+7.78</f>
        <v>8.98</v>
      </c>
      <c r="E190" s="141">
        <f>AVERAGE(0,0.7)</f>
        <v>0.35</v>
      </c>
      <c r="F190" s="141"/>
      <c r="G190" s="142">
        <v>1</v>
      </c>
      <c r="H190" s="141">
        <f>IF(C187=$M$5,G190,IF(C187=$M$6,D190*G190,IF((C187=$M$7),D190*E190*G190,IF(C187=$M$8,D190*E190*F190*G190,G190))))</f>
        <v>3.1429999999999998</v>
      </c>
      <c r="I190" s="121" t="s">
        <v>489</v>
      </c>
    </row>
    <row r="191" spans="1:17" x14ac:dyDescent="0.25">
      <c r="A191" s="628"/>
      <c r="B191" s="631"/>
      <c r="C191" s="606"/>
      <c r="D191" s="140">
        <f>2+3.9+2.67+3.5+2.7+2.7+3.95+2.67+6.3+2.35</f>
        <v>32.739999999999995</v>
      </c>
      <c r="E191" s="141">
        <v>2</v>
      </c>
      <c r="F191" s="141"/>
      <c r="G191" s="142">
        <v>1</v>
      </c>
      <c r="H191" s="141">
        <f>IF(C187=$M$5,G191,IF(C187=$M$6,D191*G191,IF((C187=$M$7),D191*E191*G191,IF(C187=$M$8,D191*E191*F191*G191,G191))))</f>
        <v>65.47999999999999</v>
      </c>
      <c r="I191" s="121" t="s">
        <v>490</v>
      </c>
    </row>
    <row r="192" spans="1:17" x14ac:dyDescent="0.25">
      <c r="A192" s="629"/>
      <c r="B192" s="632"/>
      <c r="C192" s="636"/>
      <c r="D192" s="633"/>
      <c r="E192" s="634"/>
      <c r="F192" s="634"/>
      <c r="G192" s="635"/>
      <c r="H192" s="143">
        <f>H187+H191+H190+H188+H189</f>
        <v>245.71359999999999</v>
      </c>
      <c r="I192" s="129" t="s">
        <v>461</v>
      </c>
    </row>
    <row r="193" spans="1:20" ht="38.25" customHeight="1" x14ac:dyDescent="0.25">
      <c r="A193" s="639">
        <v>5.2</v>
      </c>
      <c r="B193" s="640" t="s">
        <v>21</v>
      </c>
      <c r="C193" s="605" t="s">
        <v>75</v>
      </c>
      <c r="D193" s="140">
        <v>4</v>
      </c>
      <c r="E193" s="141">
        <v>3</v>
      </c>
      <c r="F193" s="141"/>
      <c r="G193" s="142">
        <v>7</v>
      </c>
      <c r="H193" s="141">
        <f>IF(C193=$M$5,G193,IF(C193=$M$6,D193*G193,IF((C193=$M$7),D193*E193*G193,IF(C193=$M$8,D193*E193*F193*G193,G193))))</f>
        <v>84</v>
      </c>
      <c r="I193" s="121" t="s">
        <v>491</v>
      </c>
    </row>
    <row r="194" spans="1:20" x14ac:dyDescent="0.25">
      <c r="A194" s="628"/>
      <c r="B194" s="631"/>
      <c r="C194" s="606"/>
      <c r="D194" s="140">
        <f>1.75+5.5+2.67+2.63+2.65+2.65+2.65+2.65+5.5+1.9</f>
        <v>30.549999999999997</v>
      </c>
      <c r="E194" s="141">
        <v>3</v>
      </c>
      <c r="F194" s="141"/>
      <c r="G194" s="142">
        <v>1</v>
      </c>
      <c r="H194" s="141">
        <f>IF(C193=$M$5,G194,IF(C193=$M$6,D194*G194,IF((C193=$M$7),D194*E194*G194,IF(C193=$M$8,D194*E194*F194*G194,G194))))</f>
        <v>91.649999999999991</v>
      </c>
      <c r="I194" s="121" t="s">
        <v>492</v>
      </c>
    </row>
    <row r="195" spans="1:20" x14ac:dyDescent="0.25">
      <c r="A195" s="629"/>
      <c r="B195" s="632"/>
      <c r="C195" s="636"/>
      <c r="D195" s="633"/>
      <c r="E195" s="634"/>
      <c r="F195" s="634"/>
      <c r="G195" s="635"/>
      <c r="H195" s="143">
        <f>H193+H194</f>
        <v>175.64999999999998</v>
      </c>
      <c r="I195" s="129" t="s">
        <v>461</v>
      </c>
    </row>
    <row r="196" spans="1:20" ht="38.25" customHeight="1" x14ac:dyDescent="0.25">
      <c r="A196" s="639">
        <v>5.3</v>
      </c>
      <c r="B196" s="640" t="s">
        <v>646</v>
      </c>
      <c r="C196" s="605" t="s">
        <v>75</v>
      </c>
      <c r="D196" s="140">
        <f>21.85+13.58</f>
        <v>35.43</v>
      </c>
      <c r="E196" s="141">
        <v>0.5</v>
      </c>
      <c r="F196" s="141"/>
      <c r="G196" s="142">
        <v>1</v>
      </c>
      <c r="H196" s="141">
        <f>IF(C196=$M$5,G196,IF(C196=$M$6,D196*G196,IF((C196=$M$7),D196*E196*G196,IF(C196=$M$8,D196*E196*F196*G196,G196))))</f>
        <v>17.715</v>
      </c>
      <c r="I196" s="121" t="s">
        <v>493</v>
      </c>
    </row>
    <row r="197" spans="1:20" x14ac:dyDescent="0.25">
      <c r="A197" s="628"/>
      <c r="B197" s="631"/>
      <c r="C197" s="606"/>
      <c r="D197" s="140">
        <v>33.85</v>
      </c>
      <c r="E197" s="141">
        <v>0.5</v>
      </c>
      <c r="F197" s="141"/>
      <c r="G197" s="142">
        <v>1</v>
      </c>
      <c r="H197" s="141">
        <f>IF(C196=$M$5,G197,IF(C196=$M$6,D197*G197,IF((C196=$M$7),D197*E197*G197,IF(C196=$M$8,D197*E197*F197*G197,G197))))</f>
        <v>16.925000000000001</v>
      </c>
      <c r="I197" s="121" t="s">
        <v>492</v>
      </c>
    </row>
    <row r="198" spans="1:20" ht="15.75" thickBot="1" x14ac:dyDescent="0.3">
      <c r="A198" s="643"/>
      <c r="B198" s="644"/>
      <c r="C198" s="607"/>
      <c r="D198" s="633"/>
      <c r="E198" s="634"/>
      <c r="F198" s="634"/>
      <c r="G198" s="635"/>
      <c r="H198" s="143">
        <f>H196+H197</f>
        <v>34.64</v>
      </c>
      <c r="I198" s="129" t="s">
        <v>461</v>
      </c>
      <c r="O198" s="101" t="s">
        <v>917</v>
      </c>
      <c r="P198" s="101" t="s">
        <v>918</v>
      </c>
      <c r="Q198" s="101" t="s">
        <v>919</v>
      </c>
    </row>
    <row r="199" spans="1:20" ht="15.75" customHeight="1" thickBot="1" x14ac:dyDescent="0.3">
      <c r="A199" s="106">
        <v>6</v>
      </c>
      <c r="B199" s="625" t="s">
        <v>258</v>
      </c>
      <c r="C199" s="625"/>
      <c r="D199" s="625"/>
      <c r="E199" s="625"/>
      <c r="F199" s="625"/>
      <c r="G199" s="625"/>
      <c r="H199" s="625"/>
      <c r="I199" s="626"/>
      <c r="N199" s="387" t="s">
        <v>921</v>
      </c>
      <c r="O199" s="101">
        <f>3.4+3.6</f>
        <v>7</v>
      </c>
      <c r="P199" s="101">
        <f>+O199*2</f>
        <v>14</v>
      </c>
      <c r="Q199" s="101">
        <f>+P199*12</f>
        <v>168</v>
      </c>
      <c r="S199" s="101">
        <v>8.0299999999999994</v>
      </c>
      <c r="T199" s="101">
        <f>+S199*Q199</f>
        <v>1349.04</v>
      </c>
    </row>
    <row r="200" spans="1:20" x14ac:dyDescent="0.25">
      <c r="A200" s="109">
        <v>6.1</v>
      </c>
      <c r="B200" s="110" t="s">
        <v>58</v>
      </c>
      <c r="C200" s="111" t="s">
        <v>173</v>
      </c>
      <c r="D200" s="136"/>
      <c r="E200" s="137"/>
      <c r="F200" s="137"/>
      <c r="G200" s="138">
        <f>18405.02+409.61</f>
        <v>18814.63</v>
      </c>
      <c r="H200" s="139">
        <f>IF(C200=$M$5,G200,IF(C200=$M$6,D200*G200,IF((C200=$M$7),D200*E200*G200,IF(C200=$M$8,D200*E200*F200*G200,G200))))</f>
        <v>18814.63</v>
      </c>
      <c r="I200" s="152" t="s">
        <v>494</v>
      </c>
      <c r="K200" s="101" t="s">
        <v>916</v>
      </c>
      <c r="N200" s="101" t="s">
        <v>920</v>
      </c>
      <c r="O200" s="101">
        <v>1.6</v>
      </c>
      <c r="P200" s="101">
        <f>+O200*2</f>
        <v>3.2</v>
      </c>
      <c r="Q200" s="101">
        <f>+P200*12</f>
        <v>38.400000000000006</v>
      </c>
      <c r="S200" s="101">
        <v>7.23</v>
      </c>
      <c r="T200" s="101">
        <f>+S200*Q200</f>
        <v>277.63200000000006</v>
      </c>
    </row>
    <row r="201" spans="1:20" ht="25.5" x14ac:dyDescent="0.25">
      <c r="A201" s="112">
        <v>6.2</v>
      </c>
      <c r="B201" s="107" t="s">
        <v>647</v>
      </c>
      <c r="C201" s="108" t="s">
        <v>75</v>
      </c>
      <c r="D201" s="140">
        <v>34</v>
      </c>
      <c r="E201" s="141">
        <f>18.11+20.14</f>
        <v>38.25</v>
      </c>
      <c r="F201" s="141"/>
      <c r="G201" s="142">
        <v>1</v>
      </c>
      <c r="H201" s="143">
        <f>IF(C201=$M$5,G201,IF(C201=$M$6,D201*G201,IF((C201=$M$7),D201*E201*G201,IF(C201=$M$8,D201*E201*F201*G201,G201))))</f>
        <v>1300.5</v>
      </c>
      <c r="I201" s="121" t="s">
        <v>494</v>
      </c>
      <c r="N201" s="101" t="s">
        <v>922</v>
      </c>
      <c r="O201" s="101">
        <f>61*0.3</f>
        <v>18.3</v>
      </c>
      <c r="P201" s="101">
        <f>+O201*2</f>
        <v>36.6</v>
      </c>
      <c r="Q201" s="101">
        <f>+P201*6</f>
        <v>219.60000000000002</v>
      </c>
      <c r="S201" s="101">
        <v>3.04</v>
      </c>
      <c r="T201" s="101">
        <f>+S201*Q201</f>
        <v>667.58400000000006</v>
      </c>
    </row>
    <row r="202" spans="1:20" ht="15.75" thickBot="1" x14ac:dyDescent="0.3">
      <c r="A202" s="113">
        <v>6.3</v>
      </c>
      <c r="B202" s="114" t="s">
        <v>551</v>
      </c>
      <c r="C202" s="115" t="s">
        <v>80</v>
      </c>
      <c r="D202" s="144">
        <v>34</v>
      </c>
      <c r="E202" s="145"/>
      <c r="F202" s="145"/>
      <c r="G202" s="146">
        <v>1</v>
      </c>
      <c r="H202" s="147">
        <f>IF(C202=$M$5,G202,IF(C202=$M$6,D202*G202,IF((C202=$M$7),D202*E202*G202,IF(C202=$M$8,D202*E202*F202*G202,G202))))</f>
        <v>34</v>
      </c>
      <c r="I202" s="126" t="s">
        <v>494</v>
      </c>
    </row>
    <row r="203" spans="1:20" ht="15.75" thickBot="1" x14ac:dyDescent="0.3">
      <c r="A203" s="106">
        <v>8</v>
      </c>
      <c r="B203" s="625" t="s">
        <v>260</v>
      </c>
      <c r="C203" s="625"/>
      <c r="D203" s="625"/>
      <c r="E203" s="625"/>
      <c r="F203" s="625"/>
      <c r="G203" s="625"/>
      <c r="H203" s="625"/>
      <c r="I203" s="626"/>
    </row>
    <row r="204" spans="1:20" ht="18.75" customHeight="1" x14ac:dyDescent="0.25">
      <c r="A204" s="627">
        <v>8.1</v>
      </c>
      <c r="B204" s="630" t="s">
        <v>60</v>
      </c>
      <c r="C204" s="111" t="s">
        <v>2</v>
      </c>
      <c r="D204" s="140"/>
      <c r="E204" s="140"/>
      <c r="F204" s="141"/>
      <c r="G204" s="142">
        <v>2</v>
      </c>
      <c r="H204" s="141">
        <f>IF(C204=$M$5,G204,IF(C204=$M$6,D204*G204,IF((C204=$M$7),D204*E204*G204,IF(C204=$M$8,D204*E204*F204*G204,G204))))</f>
        <v>2</v>
      </c>
      <c r="I204" s="121" t="s">
        <v>495</v>
      </c>
    </row>
    <row r="205" spans="1:20" ht="18.75" customHeight="1" x14ac:dyDescent="0.25">
      <c r="A205" s="628"/>
      <c r="B205" s="631"/>
      <c r="C205" s="108" t="s">
        <v>2</v>
      </c>
      <c r="D205" s="140"/>
      <c r="E205" s="140"/>
      <c r="F205" s="141"/>
      <c r="G205" s="142">
        <v>2</v>
      </c>
      <c r="H205" s="141">
        <f>IF(C204=$M$5,G205,IF(C204=$M$6,D205*G205,IF((C204=$M$7),D205*E205*G205,IF(C204=$M$8,D205*E205*F205*G205,G205))))</f>
        <v>2</v>
      </c>
      <c r="I205" s="121" t="s">
        <v>496</v>
      </c>
    </row>
    <row r="206" spans="1:20" ht="18.75" customHeight="1" x14ac:dyDescent="0.25">
      <c r="A206" s="629"/>
      <c r="B206" s="632"/>
      <c r="C206" s="108" t="s">
        <v>2</v>
      </c>
      <c r="D206" s="633"/>
      <c r="E206" s="634"/>
      <c r="F206" s="634"/>
      <c r="G206" s="635"/>
      <c r="H206" s="143">
        <f>+H204+H205</f>
        <v>4</v>
      </c>
      <c r="I206" s="129" t="s">
        <v>461</v>
      </c>
    </row>
    <row r="207" spans="1:20" x14ac:dyDescent="0.25">
      <c r="A207" s="628">
        <v>8.1999999999999993</v>
      </c>
      <c r="B207" s="631" t="s">
        <v>59</v>
      </c>
      <c r="C207" s="606" t="s">
        <v>80</v>
      </c>
      <c r="D207" s="148">
        <v>35.869999999999997</v>
      </c>
      <c r="E207" s="149"/>
      <c r="F207" s="149"/>
      <c r="G207" s="150">
        <v>1</v>
      </c>
      <c r="H207" s="149">
        <f>IF(C207=$M$5,G207,IF(C207=$M$6,D207*G207,IF((C207=$M$7),D207*E207*G207,IF(C207=$M$8,D207*E207*F207*G207,G207))))</f>
        <v>35.869999999999997</v>
      </c>
      <c r="I207" s="123" t="s">
        <v>639</v>
      </c>
    </row>
    <row r="208" spans="1:20" x14ac:dyDescent="0.25">
      <c r="A208" s="628"/>
      <c r="B208" s="631"/>
      <c r="C208" s="606"/>
      <c r="D208" s="140">
        <v>18.25</v>
      </c>
      <c r="E208" s="149"/>
      <c r="F208" s="149"/>
      <c r="G208" s="142">
        <v>1</v>
      </c>
      <c r="H208" s="141">
        <f>IF(C207=$M$5,G208,IF(C207=$M$6,D208*G208,IF((C207=$M$7),D208*E208*G208,IF(C207=$M$8,D208*E208*F208*G208,G208))))</f>
        <v>18.25</v>
      </c>
      <c r="I208" s="123" t="s">
        <v>640</v>
      </c>
    </row>
    <row r="209" spans="1:9" x14ac:dyDescent="0.25">
      <c r="A209" s="628"/>
      <c r="B209" s="631"/>
      <c r="C209" s="606"/>
      <c r="D209" s="140">
        <v>5.0199999999999996</v>
      </c>
      <c r="E209" s="149"/>
      <c r="F209" s="149"/>
      <c r="G209" s="142">
        <v>1</v>
      </c>
      <c r="H209" s="141">
        <f>IF(C207=$M$5,G209,IF(C207=$M$6,D209*G209,IF((C207=$M$7),D209*E209*G209,IF(C207=$M$8,D209*E209*F209*G209,G209))))</f>
        <v>5.0199999999999996</v>
      </c>
      <c r="I209" s="123" t="s">
        <v>641</v>
      </c>
    </row>
    <row r="210" spans="1:9" x14ac:dyDescent="0.25">
      <c r="A210" s="628"/>
      <c r="B210" s="631"/>
      <c r="C210" s="606"/>
      <c r="D210" s="140">
        <v>1.18</v>
      </c>
      <c r="E210" s="149"/>
      <c r="F210" s="149"/>
      <c r="G210" s="142">
        <v>1</v>
      </c>
      <c r="H210" s="141">
        <f>IF(C207=$M$5,G210,IF(C207=$M$6,D210*G210,IF((C207=$M$7),D210*E210*G210,IF(C207=$M$8,D210*E210*F210*G210,G210))))</f>
        <v>1.18</v>
      </c>
      <c r="I210" s="123" t="s">
        <v>642</v>
      </c>
    </row>
    <row r="211" spans="1:9" x14ac:dyDescent="0.25">
      <c r="A211" s="628"/>
      <c r="B211" s="631"/>
      <c r="C211" s="606"/>
      <c r="D211" s="140">
        <v>15.41</v>
      </c>
      <c r="E211" s="149"/>
      <c r="F211" s="149"/>
      <c r="G211" s="142">
        <v>1</v>
      </c>
      <c r="H211" s="141">
        <f>IF(C207=$M$5,G211,IF(C207=$M$6,D211*G211,IF((C207=$M$7),D211*E211*G211,IF(C207=$M$8,D211*E211*F211*G211,G211))))</f>
        <v>15.41</v>
      </c>
      <c r="I211" s="123" t="s">
        <v>643</v>
      </c>
    </row>
    <row r="212" spans="1:9" x14ac:dyDescent="0.25">
      <c r="A212" s="628"/>
      <c r="B212" s="631"/>
      <c r="C212" s="606"/>
      <c r="D212" s="140">
        <v>15.99</v>
      </c>
      <c r="E212" s="149"/>
      <c r="F212" s="149"/>
      <c r="G212" s="142">
        <v>1</v>
      </c>
      <c r="H212" s="141">
        <f>IF(C207=$M$5,G212,IF(C207=$M$6,D212*G212,IF((C207=$M$7),D212*E212*G212,IF(C207=$M$8,D212*E212*F212*G212,G212))))</f>
        <v>15.99</v>
      </c>
      <c r="I212" s="123" t="s">
        <v>644</v>
      </c>
    </row>
    <row r="213" spans="1:9" x14ac:dyDescent="0.25">
      <c r="A213" s="628"/>
      <c r="B213" s="631"/>
      <c r="C213" s="606"/>
      <c r="D213" s="140">
        <v>12.05</v>
      </c>
      <c r="E213" s="149"/>
      <c r="F213" s="149"/>
      <c r="G213" s="142">
        <v>1</v>
      </c>
      <c r="H213" s="141">
        <f>IF(C207=$M$5,G213,IF(C207=$M$6,D213*G213,IF((C207=$M$7),D213*E213*G213,IF(C207=$M$8,D213*E213*F213*G213,G213))))</f>
        <v>12.05</v>
      </c>
      <c r="I213" s="123" t="s">
        <v>645</v>
      </c>
    </row>
    <row r="214" spans="1:9" x14ac:dyDescent="0.25">
      <c r="A214" s="629"/>
      <c r="B214" s="632"/>
      <c r="C214" s="636"/>
      <c r="D214" s="633"/>
      <c r="E214" s="634"/>
      <c r="F214" s="634"/>
      <c r="G214" s="635"/>
      <c r="H214" s="143">
        <f>SUM(H207:H213)</f>
        <v>103.77</v>
      </c>
      <c r="I214" s="129" t="s">
        <v>461</v>
      </c>
    </row>
    <row r="215" spans="1:9" x14ac:dyDescent="0.25">
      <c r="A215" s="628">
        <v>8.3000000000000007</v>
      </c>
      <c r="B215" s="631" t="s">
        <v>193</v>
      </c>
      <c r="C215" s="606" t="s">
        <v>2</v>
      </c>
      <c r="D215" s="148"/>
      <c r="E215" s="149"/>
      <c r="F215" s="149"/>
      <c r="G215" s="150">
        <v>1</v>
      </c>
      <c r="H215" s="149">
        <f>IF(C215=$M$5,G215,IF(C215=$M$6,D215*G215,IF((C215=$M$7),D215*E215*G215,IF(C215=$M$8,D215*E215*F215*G215,G215))))</f>
        <v>1</v>
      </c>
      <c r="I215" s="123" t="s">
        <v>474</v>
      </c>
    </row>
    <row r="216" spans="1:9" x14ac:dyDescent="0.25">
      <c r="A216" s="628"/>
      <c r="B216" s="631"/>
      <c r="C216" s="606"/>
      <c r="D216" s="140"/>
      <c r="E216" s="149"/>
      <c r="F216" s="149"/>
      <c r="G216" s="142">
        <v>4</v>
      </c>
      <c r="H216" s="141">
        <f>IF(C215=$M$5,G216,IF(C215=$M$6,D216*G216,IF((C215=$M$7),D216*E216*G216,IF(C215=$M$8,D216*E216*F216*G216,G216))))</f>
        <v>4</v>
      </c>
      <c r="I216" s="121" t="s">
        <v>487</v>
      </c>
    </row>
    <row r="217" spans="1:9" x14ac:dyDescent="0.25">
      <c r="A217" s="628"/>
      <c r="B217" s="631"/>
      <c r="C217" s="606"/>
      <c r="D217" s="140"/>
      <c r="E217" s="149"/>
      <c r="F217" s="149"/>
      <c r="G217" s="142">
        <v>4</v>
      </c>
      <c r="H217" s="141">
        <f>IF(C215=$M$5,G217,IF(C215=$M$6,D217*G217,IF((C215=$M$7),D217*E217*G217,IF(C215=$M$8,D217*E217*F217*G217,G217))))</f>
        <v>4</v>
      </c>
      <c r="I217" s="121" t="s">
        <v>488</v>
      </c>
    </row>
    <row r="218" spans="1:9" x14ac:dyDescent="0.25">
      <c r="A218" s="629"/>
      <c r="B218" s="632"/>
      <c r="C218" s="636"/>
      <c r="D218" s="633"/>
      <c r="E218" s="634"/>
      <c r="F218" s="634"/>
      <c r="G218" s="635"/>
      <c r="H218" s="143">
        <f>SUM(H215:H217)</f>
        <v>9</v>
      </c>
      <c r="I218" s="129" t="s">
        <v>461</v>
      </c>
    </row>
    <row r="219" spans="1:9" x14ac:dyDescent="0.25">
      <c r="A219" s="628">
        <v>8.4</v>
      </c>
      <c r="B219" s="631" t="s">
        <v>192</v>
      </c>
      <c r="C219" s="606" t="s">
        <v>2</v>
      </c>
      <c r="D219" s="148"/>
      <c r="E219" s="149"/>
      <c r="F219" s="149"/>
      <c r="G219" s="150">
        <v>1</v>
      </c>
      <c r="H219" s="149">
        <f>IF(C219=$M$5,G219,IF(C219=$M$6,D219*G219,IF((C219=$M$7),D219*E219*G219,IF(C219=$M$8,D219*E219*F219*G219,G219))))</f>
        <v>1</v>
      </c>
      <c r="I219" s="123" t="s">
        <v>470</v>
      </c>
    </row>
    <row r="220" spans="1:9" x14ac:dyDescent="0.25">
      <c r="A220" s="628"/>
      <c r="B220" s="631"/>
      <c r="C220" s="606"/>
      <c r="D220" s="140"/>
      <c r="E220" s="149"/>
      <c r="F220" s="149"/>
      <c r="G220" s="142">
        <v>1</v>
      </c>
      <c r="H220" s="141">
        <f>IF(C219=$M$5,G220,IF(C219=$M$6,D220*G220,IF((C219=$M$7),D220*E220*G220,IF(C219=$M$8,D220*E220*F220*G220,G220))))</f>
        <v>1</v>
      </c>
      <c r="I220" s="123" t="s">
        <v>472</v>
      </c>
    </row>
    <row r="221" spans="1:9" x14ac:dyDescent="0.25">
      <c r="A221" s="629"/>
      <c r="B221" s="632"/>
      <c r="C221" s="636"/>
      <c r="D221" s="633"/>
      <c r="E221" s="634"/>
      <c r="F221" s="634"/>
      <c r="G221" s="635"/>
      <c r="H221" s="143">
        <f>SUM(H219:H220)</f>
        <v>2</v>
      </c>
      <c r="I221" s="129" t="s">
        <v>461</v>
      </c>
    </row>
    <row r="222" spans="1:9" x14ac:dyDescent="0.25">
      <c r="A222" s="628">
        <v>8.5</v>
      </c>
      <c r="B222" s="631" t="s">
        <v>194</v>
      </c>
      <c r="C222" s="606" t="s">
        <v>2</v>
      </c>
      <c r="D222" s="148"/>
      <c r="E222" s="149"/>
      <c r="F222" s="149"/>
      <c r="G222" s="150">
        <v>1</v>
      </c>
      <c r="H222" s="149">
        <f>IF(C222=$M$5,G222,IF(C222=$M$6,D222*G222,IF((C222=$M$7),D222*E222*G222,IF(C222=$M$8,D222*E222*F222*G222,G222))))</f>
        <v>1</v>
      </c>
      <c r="I222" s="123" t="s">
        <v>474</v>
      </c>
    </row>
    <row r="223" spans="1:9" x14ac:dyDescent="0.25">
      <c r="A223" s="628"/>
      <c r="B223" s="631"/>
      <c r="C223" s="606"/>
      <c r="D223" s="140"/>
      <c r="E223" s="149"/>
      <c r="F223" s="149"/>
      <c r="G223" s="142">
        <v>3</v>
      </c>
      <c r="H223" s="141">
        <f>IF(C222=$M$5,G223,IF(C222=$M$6,D223*G223,IF((C222=$M$7),D223*E223*G223,IF(C222=$M$8,D223*E223*F223*G223,G223))))</f>
        <v>3</v>
      </c>
      <c r="I223" s="121" t="s">
        <v>487</v>
      </c>
    </row>
    <row r="224" spans="1:9" x14ac:dyDescent="0.25">
      <c r="A224" s="628"/>
      <c r="B224" s="631"/>
      <c r="C224" s="606"/>
      <c r="D224" s="140"/>
      <c r="E224" s="149"/>
      <c r="F224" s="149"/>
      <c r="G224" s="142">
        <v>4</v>
      </c>
      <c r="H224" s="141">
        <f>IF(C222=$M$5,G224,IF(C222=$M$6,D224*G224,IF((C222=$M$7),D224*E224*G224,IF(C222=$M$8,D224*E224*F224*G224,G224))))</f>
        <v>4</v>
      </c>
      <c r="I224" s="121" t="s">
        <v>488</v>
      </c>
    </row>
    <row r="225" spans="1:9" x14ac:dyDescent="0.25">
      <c r="A225" s="629"/>
      <c r="B225" s="632"/>
      <c r="C225" s="636"/>
      <c r="D225" s="633"/>
      <c r="E225" s="634"/>
      <c r="F225" s="634"/>
      <c r="G225" s="635"/>
      <c r="H225" s="143">
        <f>SUM(H222:H224)</f>
        <v>8</v>
      </c>
      <c r="I225" s="129" t="s">
        <v>461</v>
      </c>
    </row>
    <row r="226" spans="1:9" ht="38.25" x14ac:dyDescent="0.25">
      <c r="A226" s="112">
        <v>8.6</v>
      </c>
      <c r="B226" s="107" t="s">
        <v>196</v>
      </c>
      <c r="C226" s="108" t="s">
        <v>2</v>
      </c>
      <c r="D226" s="140"/>
      <c r="E226" s="141"/>
      <c r="F226" s="141"/>
      <c r="G226" s="142">
        <v>3</v>
      </c>
      <c r="H226" s="143">
        <f>IF(C226=$M$5,G226,IF(C226=$M$6,D226*G226,IF((C226=$M$7),D226*E226*G226,IF(C226=$M$8,D226*E226*F226*G226,G226))))</f>
        <v>3</v>
      </c>
      <c r="I226" s="121" t="s">
        <v>487</v>
      </c>
    </row>
    <row r="227" spans="1:9" x14ac:dyDescent="0.25">
      <c r="A227" s="628">
        <v>8.6999999999999993</v>
      </c>
      <c r="B227" s="631" t="s">
        <v>52</v>
      </c>
      <c r="C227" s="606" t="s">
        <v>2</v>
      </c>
      <c r="D227" s="148"/>
      <c r="E227" s="149"/>
      <c r="F227" s="149"/>
      <c r="G227" s="150">
        <v>1</v>
      </c>
      <c r="H227" s="149">
        <f>IF(C227=$M$5,G227,IF(C227=$M$6,D227*G227,IF((C227=$M$7),D227*E227*G227,IF(C227=$M$8,D227*E227*F227*G227,G227))))</f>
        <v>1</v>
      </c>
      <c r="I227" s="121" t="s">
        <v>474</v>
      </c>
    </row>
    <row r="228" spans="1:9" x14ac:dyDescent="0.25">
      <c r="A228" s="628"/>
      <c r="B228" s="631"/>
      <c r="C228" s="606"/>
      <c r="D228" s="140"/>
      <c r="E228" s="149"/>
      <c r="F228" s="149"/>
      <c r="G228" s="142">
        <v>3</v>
      </c>
      <c r="H228" s="141">
        <f>IF(C226=$M$5,G228,IF(C226=$M$6,D228*G228,IF((C226=$M$7),D228*E228*G228,IF(C226=$M$8,D228*E228*F228*G228,G228))))</f>
        <v>3</v>
      </c>
      <c r="I228" s="121" t="s">
        <v>488</v>
      </c>
    </row>
    <row r="229" spans="1:9" x14ac:dyDescent="0.25">
      <c r="A229" s="628"/>
      <c r="B229" s="631"/>
      <c r="C229" s="606"/>
      <c r="D229" s="140"/>
      <c r="E229" s="149"/>
      <c r="F229" s="149"/>
      <c r="G229" s="142">
        <v>3</v>
      </c>
      <c r="H229" s="141">
        <f>IF(C227=$M$5,G229,IF(C227=$M$6,D229*G229,IF((C227=$M$7),D229*E229*G229,IF(C227=$M$8,D229*E229*F229*G229,G229))))</f>
        <v>3</v>
      </c>
      <c r="I229" s="121" t="s">
        <v>488</v>
      </c>
    </row>
    <row r="230" spans="1:9" x14ac:dyDescent="0.25">
      <c r="A230" s="629"/>
      <c r="B230" s="632"/>
      <c r="C230" s="636"/>
      <c r="D230" s="633"/>
      <c r="E230" s="634"/>
      <c r="F230" s="634"/>
      <c r="G230" s="635"/>
      <c r="H230" s="143">
        <f>SUM(H227:H229)</f>
        <v>7</v>
      </c>
      <c r="I230" s="129" t="s">
        <v>461</v>
      </c>
    </row>
    <row r="231" spans="1:9" ht="25.5" x14ac:dyDescent="0.25">
      <c r="A231" s="153">
        <v>8.8000000000000007</v>
      </c>
      <c r="B231" s="107" t="s">
        <v>46</v>
      </c>
      <c r="C231" s="108" t="s">
        <v>80</v>
      </c>
      <c r="D231" s="140">
        <f>6.3+0.3</f>
        <v>6.6</v>
      </c>
      <c r="E231" s="141"/>
      <c r="F231" s="141"/>
      <c r="G231" s="142">
        <v>6</v>
      </c>
      <c r="H231" s="143">
        <f>IF(C231=$M$5,G231,IF(C231=$M$6,D231*G231,IF((C231=$M$7),D231*E231*G231,IF(C231=$M$8,D231*E231*F231*G231,G231))))</f>
        <v>39.599999999999994</v>
      </c>
      <c r="I231" s="121" t="s">
        <v>494</v>
      </c>
    </row>
    <row r="232" spans="1:9" x14ac:dyDescent="0.25">
      <c r="A232" s="628">
        <v>8.9</v>
      </c>
      <c r="B232" s="631" t="s">
        <v>197</v>
      </c>
      <c r="C232" s="606" t="s">
        <v>80</v>
      </c>
      <c r="D232" s="148">
        <v>1.63</v>
      </c>
      <c r="E232" s="149"/>
      <c r="F232" s="149"/>
      <c r="G232" s="150">
        <v>2</v>
      </c>
      <c r="H232" s="149">
        <f>IF(C232=$M$5,G232,IF(C232=$M$6,D232*G232,IF((C232=$M$7),D232*E232*G232,IF(C232=$M$8,D232*E232*F232*G232,G232))))</f>
        <v>3.26</v>
      </c>
      <c r="I232" s="123" t="s">
        <v>495</v>
      </c>
    </row>
    <row r="233" spans="1:9" x14ac:dyDescent="0.25">
      <c r="A233" s="628"/>
      <c r="B233" s="631"/>
      <c r="C233" s="606"/>
      <c r="D233" s="140">
        <v>129.41</v>
      </c>
      <c r="E233" s="149"/>
      <c r="F233" s="149"/>
      <c r="G233" s="142">
        <v>1</v>
      </c>
      <c r="H233" s="141">
        <f>IF(C232=$M$5,G233,IF(C232=$M$6,D233*G233,IF((C232=$M$7),D233*E233*G233,IF(C232=$M$8,D233*E233*F233*G233,G233))))</f>
        <v>129.41</v>
      </c>
      <c r="I233" s="123" t="s">
        <v>495</v>
      </c>
    </row>
    <row r="234" spans="1:9" x14ac:dyDescent="0.25">
      <c r="A234" s="628"/>
      <c r="B234" s="631"/>
      <c r="C234" s="606"/>
      <c r="D234" s="140">
        <v>3.1320000000000001</v>
      </c>
      <c r="E234" s="149"/>
      <c r="F234" s="149"/>
      <c r="G234" s="142">
        <v>2</v>
      </c>
      <c r="H234" s="141">
        <f>IF(C232=$M$5,G234,IF(C232=$M$6,D234*G234,IF((C232=$M$7),D234*E234*G234,IF(C232=$M$8,D234*E234*F234*G234,G234))))</f>
        <v>6.2640000000000002</v>
      </c>
      <c r="I234" s="123" t="s">
        <v>495</v>
      </c>
    </row>
    <row r="235" spans="1:9" x14ac:dyDescent="0.25">
      <c r="A235" s="628"/>
      <c r="B235" s="631"/>
      <c r="C235" s="606"/>
      <c r="D235" s="140">
        <v>107.52</v>
      </c>
      <c r="E235" s="149"/>
      <c r="F235" s="149"/>
      <c r="G235" s="142">
        <v>1</v>
      </c>
      <c r="H235" s="141">
        <f>IF(C232=$M$5,G235,IF(C232=$M$6,D235*G235,IF((C232=$M$7),D235*E235*G235,IF(C232=$M$8,D235*E235*F235*G235,G235))))</f>
        <v>107.52</v>
      </c>
      <c r="I235" s="123" t="s">
        <v>495</v>
      </c>
    </row>
    <row r="236" spans="1:9" x14ac:dyDescent="0.25">
      <c r="A236" s="629"/>
      <c r="B236" s="632"/>
      <c r="C236" s="636"/>
      <c r="D236" s="633"/>
      <c r="E236" s="634"/>
      <c r="F236" s="634"/>
      <c r="G236" s="635"/>
      <c r="H236" s="143">
        <f>SUM(H232:H235)</f>
        <v>246.45400000000001</v>
      </c>
      <c r="I236" s="129" t="s">
        <v>461</v>
      </c>
    </row>
    <row r="237" spans="1:9" x14ac:dyDescent="0.25">
      <c r="A237" s="637">
        <v>8.1</v>
      </c>
      <c r="B237" s="631" t="s">
        <v>195</v>
      </c>
      <c r="C237" s="606" t="s">
        <v>2</v>
      </c>
      <c r="D237" s="148"/>
      <c r="E237" s="149"/>
      <c r="F237" s="149"/>
      <c r="G237" s="150">
        <v>1</v>
      </c>
      <c r="H237" s="149">
        <f>IF(C237=$M$5,G237,IF(C237=$M$6,D237*G237,IF((C237=$M$7),D237*E237*G237,IF(C237=$M$8,D237*E237*F237*G237,G237))))</f>
        <v>1</v>
      </c>
      <c r="I237" s="123" t="s">
        <v>474</v>
      </c>
    </row>
    <row r="238" spans="1:9" x14ac:dyDescent="0.25">
      <c r="A238" s="637"/>
      <c r="B238" s="631"/>
      <c r="C238" s="606"/>
      <c r="D238" s="140"/>
      <c r="E238" s="149"/>
      <c r="F238" s="149"/>
      <c r="G238" s="142">
        <v>3</v>
      </c>
      <c r="H238" s="141">
        <f>IF(C237=$M$5,G238,IF(C237=$M$6,D238*G238,IF((C237=$M$7),D238*E238*G238,IF(C237=$M$8,D238*E238*F238*G238,G238))))</f>
        <v>3</v>
      </c>
      <c r="I238" s="121" t="s">
        <v>487</v>
      </c>
    </row>
    <row r="239" spans="1:9" x14ac:dyDescent="0.25">
      <c r="A239" s="637"/>
      <c r="B239" s="631"/>
      <c r="C239" s="606"/>
      <c r="D239" s="140"/>
      <c r="E239" s="149"/>
      <c r="F239" s="149"/>
      <c r="G239" s="142">
        <v>4</v>
      </c>
      <c r="H239" s="141">
        <f>IF(C237=$M$5,G239,IF(C237=$M$6,D239*G239,IF((C237=$M$7),D239*E239*G239,IF(C237=$M$8,D239*E239*F239*G239,G239))))</f>
        <v>4</v>
      </c>
      <c r="I239" s="121" t="s">
        <v>488</v>
      </c>
    </row>
    <row r="240" spans="1:9" x14ac:dyDescent="0.25">
      <c r="A240" s="638"/>
      <c r="B240" s="632"/>
      <c r="C240" s="636"/>
      <c r="D240" s="633"/>
      <c r="E240" s="634"/>
      <c r="F240" s="634"/>
      <c r="G240" s="635"/>
      <c r="H240" s="143">
        <f>SUM(H237:H239)</f>
        <v>8</v>
      </c>
      <c r="I240" s="129" t="s">
        <v>461</v>
      </c>
    </row>
    <row r="241" spans="1:9" ht="51" x14ac:dyDescent="0.25">
      <c r="A241" s="124">
        <v>8.11</v>
      </c>
      <c r="B241" s="125" t="s">
        <v>497</v>
      </c>
      <c r="C241" s="118" t="s">
        <v>2</v>
      </c>
      <c r="D241" s="148">
        <v>1.2</v>
      </c>
      <c r="E241" s="149">
        <v>1.2</v>
      </c>
      <c r="F241" s="149">
        <v>1.2</v>
      </c>
      <c r="G241" s="150">
        <v>1</v>
      </c>
      <c r="H241" s="154">
        <f>IF(C241=$M$5,G241,IF(C241=$M$6,D241*G241,IF((C241=$M$7),D241*E241*G241,IF(C241=$M$8,D241*E241*F241*G241,G241))))</f>
        <v>1</v>
      </c>
      <c r="I241" s="123" t="s">
        <v>495</v>
      </c>
    </row>
    <row r="242" spans="1:9" ht="51" x14ac:dyDescent="0.25">
      <c r="A242" s="112">
        <v>8.1199999999999992</v>
      </c>
      <c r="B242" s="107" t="s">
        <v>498</v>
      </c>
      <c r="C242" s="108" t="s">
        <v>2</v>
      </c>
      <c r="D242" s="140">
        <v>1.2</v>
      </c>
      <c r="E242" s="141">
        <v>1.2</v>
      </c>
      <c r="F242" s="141">
        <v>2.2000000000000002</v>
      </c>
      <c r="G242" s="142">
        <v>1</v>
      </c>
      <c r="H242" s="143">
        <f>IF(C242=$M$5,G242,IF(C242=$M$6,D242*G242,IF((C242=$M$7),D242*E242*G242,IF(C242=$M$8,D242*E242*F242*G242,G242))))</f>
        <v>1</v>
      </c>
      <c r="I242" s="121" t="s">
        <v>499</v>
      </c>
    </row>
    <row r="243" spans="1:9" x14ac:dyDescent="0.25">
      <c r="A243" s="637">
        <v>8.1300000000000008</v>
      </c>
      <c r="B243" s="631" t="s">
        <v>500</v>
      </c>
      <c r="C243" s="606" t="s">
        <v>80</v>
      </c>
      <c r="D243" s="148">
        <v>63.49</v>
      </c>
      <c r="E243" s="149"/>
      <c r="F243" s="149"/>
      <c r="G243" s="150">
        <v>1</v>
      </c>
      <c r="H243" s="149">
        <f>IF(C243=$M$5,G243,IF(C243=$M$6,D243*G243,IF((C243=$M$7),D243*E243*G243,IF(C243=$M$8,D243*E243*F243*G243,G243))))</f>
        <v>63.49</v>
      </c>
      <c r="I243" s="123" t="s">
        <v>648</v>
      </c>
    </row>
    <row r="244" spans="1:9" x14ac:dyDescent="0.25">
      <c r="A244" s="637"/>
      <c r="B244" s="631"/>
      <c r="C244" s="606"/>
      <c r="D244" s="140">
        <v>13.13</v>
      </c>
      <c r="E244" s="149"/>
      <c r="F244" s="149"/>
      <c r="G244" s="142">
        <v>1</v>
      </c>
      <c r="H244" s="141">
        <f>IF(C243=$M$5,G244,IF(C243=$M$6,D244*G244,IF((C243=$M$7),D244*E244*G244,IF(C243=$M$8,D244*E244*F244*G244,G244))))</f>
        <v>13.13</v>
      </c>
      <c r="I244" s="121" t="s">
        <v>649</v>
      </c>
    </row>
    <row r="245" spans="1:9" ht="15.75" thickBot="1" x14ac:dyDescent="0.3">
      <c r="A245" s="638"/>
      <c r="B245" s="632"/>
      <c r="C245" s="636"/>
      <c r="D245" s="633"/>
      <c r="E245" s="634"/>
      <c r="F245" s="634"/>
      <c r="G245" s="635"/>
      <c r="H245" s="143">
        <f>SUM(H243:H244)</f>
        <v>76.62</v>
      </c>
      <c r="I245" s="129" t="s">
        <v>461</v>
      </c>
    </row>
    <row r="246" spans="1:9" x14ac:dyDescent="0.25">
      <c r="A246" s="106">
        <v>9</v>
      </c>
      <c r="B246" s="625" t="s">
        <v>270</v>
      </c>
      <c r="C246" s="625"/>
      <c r="D246" s="625"/>
      <c r="E246" s="625"/>
      <c r="F246" s="625"/>
      <c r="G246" s="625"/>
      <c r="H246" s="625"/>
      <c r="I246" s="626"/>
    </row>
    <row r="247" spans="1:9" x14ac:dyDescent="0.25">
      <c r="A247" s="628">
        <v>9.1</v>
      </c>
      <c r="B247" s="631" t="s">
        <v>198</v>
      </c>
      <c r="C247" s="606" t="s">
        <v>2</v>
      </c>
      <c r="D247" s="148"/>
      <c r="E247" s="149"/>
      <c r="F247" s="149"/>
      <c r="G247" s="150">
        <v>1</v>
      </c>
      <c r="H247" s="149">
        <f>IF(C247=$M$5,G247,IF(C247=$M$6,D247*G247,IF((C247=$M$7),D247*E247*G247,IF(C247=$M$8,D247*E247*F247*G247,G247))))</f>
        <v>1</v>
      </c>
      <c r="I247" s="123" t="s">
        <v>474</v>
      </c>
    </row>
    <row r="248" spans="1:9" x14ac:dyDescent="0.25">
      <c r="A248" s="628"/>
      <c r="B248" s="631"/>
      <c r="C248" s="606"/>
      <c r="D248" s="140"/>
      <c r="E248" s="149"/>
      <c r="F248" s="149"/>
      <c r="G248" s="142">
        <v>4</v>
      </c>
      <c r="H248" s="141">
        <f>IF(C247=$M$5,G248,IF(C247=$M$6,D248*G248,IF((C247=$M$7),D248*E248*G248,IF(C247=$M$8,D248*E248*F248*G248,G248))))</f>
        <v>4</v>
      </c>
      <c r="I248" s="121" t="s">
        <v>487</v>
      </c>
    </row>
    <row r="249" spans="1:9" x14ac:dyDescent="0.25">
      <c r="A249" s="628"/>
      <c r="B249" s="631"/>
      <c r="C249" s="606"/>
      <c r="D249" s="140"/>
      <c r="E249" s="149"/>
      <c r="F249" s="149"/>
      <c r="G249" s="142">
        <v>4</v>
      </c>
      <c r="H249" s="141">
        <f>IF(C247=$M$5,G249,IF(C247=$M$6,D249*G249,IF((C247=$M$7),D249*E249*G249,IF(C247=$M$8,D249*E249*F249*G249,G249))))</f>
        <v>4</v>
      </c>
      <c r="I249" s="121" t="s">
        <v>488</v>
      </c>
    </row>
    <row r="250" spans="1:9" x14ac:dyDescent="0.25">
      <c r="A250" s="629"/>
      <c r="B250" s="632"/>
      <c r="C250" s="636"/>
      <c r="D250" s="633"/>
      <c r="E250" s="634"/>
      <c r="F250" s="634"/>
      <c r="G250" s="635"/>
      <c r="H250" s="143">
        <f>SUM(H247:H249)</f>
        <v>9</v>
      </c>
      <c r="I250" s="129" t="s">
        <v>461</v>
      </c>
    </row>
    <row r="251" spans="1:9" x14ac:dyDescent="0.25">
      <c r="A251" s="628">
        <v>9.1999999999999993</v>
      </c>
      <c r="B251" s="631" t="s">
        <v>199</v>
      </c>
      <c r="C251" s="606" t="s">
        <v>2</v>
      </c>
      <c r="D251" s="148"/>
      <c r="E251" s="149"/>
      <c r="F251" s="149"/>
      <c r="G251" s="150">
        <v>1</v>
      </c>
      <c r="H251" s="149">
        <f>IF(C251=$M$5,G251,IF(C251=$M$6,D251*G251,IF((C251=$M$7),D251*E251*G251,IF(C251=$M$8,D251*E251*F251*G251,G251))))</f>
        <v>1</v>
      </c>
      <c r="I251" s="123" t="s">
        <v>470</v>
      </c>
    </row>
    <row r="252" spans="1:9" x14ac:dyDescent="0.25">
      <c r="A252" s="628"/>
      <c r="B252" s="631"/>
      <c r="C252" s="606"/>
      <c r="D252" s="140"/>
      <c r="E252" s="149"/>
      <c r="F252" s="149"/>
      <c r="G252" s="142">
        <v>1</v>
      </c>
      <c r="H252" s="141">
        <f>IF(C251=$M$5,G252,IF(C251=$M$6,D252*G252,IF((C251=$M$7),D252*E252*G252,IF(C251=$M$8,D252*E252*F252*G252,G252))))</f>
        <v>1</v>
      </c>
      <c r="I252" s="123" t="s">
        <v>472</v>
      </c>
    </row>
    <row r="253" spans="1:9" x14ac:dyDescent="0.25">
      <c r="A253" s="629"/>
      <c r="B253" s="632"/>
      <c r="C253" s="636"/>
      <c r="D253" s="633"/>
      <c r="E253" s="634"/>
      <c r="F253" s="634"/>
      <c r="G253" s="635"/>
      <c r="H253" s="143">
        <f>SUM(H251:H252)</f>
        <v>2</v>
      </c>
      <c r="I253" s="129" t="s">
        <v>461</v>
      </c>
    </row>
    <row r="254" spans="1:9" x14ac:dyDescent="0.25">
      <c r="A254" s="628">
        <v>9.3000000000000007</v>
      </c>
      <c r="B254" s="631" t="s">
        <v>200</v>
      </c>
      <c r="C254" s="606" t="s">
        <v>2</v>
      </c>
      <c r="D254" s="148"/>
      <c r="E254" s="149"/>
      <c r="F254" s="149"/>
      <c r="G254" s="150">
        <v>1</v>
      </c>
      <c r="H254" s="149">
        <f>IF(C254=$M$5,G254,IF(C254=$M$6,D254*G254,IF((C254=$M$7),D254*E254*G254,IF(C254=$M$8,D254*E254*F254*G254,G254))))</f>
        <v>1</v>
      </c>
      <c r="I254" s="123" t="s">
        <v>472</v>
      </c>
    </row>
    <row r="255" spans="1:9" x14ac:dyDescent="0.25">
      <c r="A255" s="628"/>
      <c r="B255" s="631"/>
      <c r="C255" s="606"/>
      <c r="D255" s="140"/>
      <c r="E255" s="149"/>
      <c r="F255" s="149"/>
      <c r="G255" s="142">
        <v>2</v>
      </c>
      <c r="H255" s="141">
        <f>IF(C254=$M$5,G255,IF(C254=$M$6,D255*G255,IF((C254=$M$7),D255*E255*G255,IF(C254=$M$8,D255*E255*F255*G255,G255))))</f>
        <v>2</v>
      </c>
      <c r="I255" s="123" t="s">
        <v>685</v>
      </c>
    </row>
    <row r="256" spans="1:9" x14ac:dyDescent="0.25">
      <c r="A256" s="629"/>
      <c r="B256" s="632"/>
      <c r="C256" s="636"/>
      <c r="D256" s="633"/>
      <c r="E256" s="634"/>
      <c r="F256" s="634"/>
      <c r="G256" s="635"/>
      <c r="H256" s="143">
        <f>SUM(H254:H255)</f>
        <v>3</v>
      </c>
      <c r="I256" s="129" t="s">
        <v>461</v>
      </c>
    </row>
    <row r="257" spans="1:9" ht="25.5" x14ac:dyDescent="0.25">
      <c r="A257" s="112">
        <v>9.4</v>
      </c>
      <c r="B257" s="107" t="s">
        <v>202</v>
      </c>
      <c r="C257" s="108" t="s">
        <v>2</v>
      </c>
      <c r="D257" s="140"/>
      <c r="E257" s="141"/>
      <c r="F257" s="141"/>
      <c r="G257" s="142">
        <v>3</v>
      </c>
      <c r="H257" s="143">
        <f>IF(C257=$M$5,G257,IF(C257=$M$6,D257*G257,IF((C257=$M$7),D257*E257*G257,IF(C257=$M$8,D257*E257*F257*G257,G257))))</f>
        <v>3</v>
      </c>
      <c r="I257" s="121" t="s">
        <v>487</v>
      </c>
    </row>
    <row r="258" spans="1:9" x14ac:dyDescent="0.25">
      <c r="A258" s="628">
        <v>9.5</v>
      </c>
      <c r="B258" s="631" t="s">
        <v>201</v>
      </c>
      <c r="C258" s="606" t="s">
        <v>2</v>
      </c>
      <c r="D258" s="148"/>
      <c r="E258" s="149"/>
      <c r="F258" s="149"/>
      <c r="G258" s="142">
        <v>3</v>
      </c>
      <c r="H258" s="149">
        <f>IF(C258=$M$5,G258,IF(C258=$M$6,D258*G258,IF((C258=$M$7),D258*E258*G258,IF(C258=$M$8,D258*E258*F258*G258,G258))))</f>
        <v>3</v>
      </c>
      <c r="I258" s="121" t="s">
        <v>487</v>
      </c>
    </row>
    <row r="259" spans="1:9" x14ac:dyDescent="0.25">
      <c r="A259" s="628"/>
      <c r="B259" s="631"/>
      <c r="C259" s="606"/>
      <c r="D259" s="140"/>
      <c r="E259" s="149"/>
      <c r="F259" s="149"/>
      <c r="G259" s="142">
        <v>3</v>
      </c>
      <c r="H259" s="141">
        <f>IF(C258=$M$5,G259,IF(C258=$M$6,D259*G259,IF((C258=$M$7),D259*E259*G259,IF(C258=$M$8,D259*E259*F259*G259,G259))))</f>
        <v>3</v>
      </c>
      <c r="I259" s="121" t="s">
        <v>488</v>
      </c>
    </row>
    <row r="260" spans="1:9" x14ac:dyDescent="0.25">
      <c r="A260" s="629"/>
      <c r="B260" s="632"/>
      <c r="C260" s="636"/>
      <c r="D260" s="633"/>
      <c r="E260" s="634"/>
      <c r="F260" s="634"/>
      <c r="G260" s="635"/>
      <c r="H260" s="143">
        <f>SUM(H258:H259)</f>
        <v>6</v>
      </c>
      <c r="I260" s="129" t="s">
        <v>461</v>
      </c>
    </row>
    <row r="261" spans="1:9" ht="25.5" x14ac:dyDescent="0.25">
      <c r="A261" s="112">
        <v>9.6</v>
      </c>
      <c r="B261" s="107" t="s">
        <v>401</v>
      </c>
      <c r="C261" s="108" t="s">
        <v>2</v>
      </c>
      <c r="D261" s="140"/>
      <c r="E261" s="141"/>
      <c r="F261" s="141"/>
      <c r="G261" s="142">
        <v>1</v>
      </c>
      <c r="H261" s="143">
        <f>IF(C261=$M$5,G261,IF(C261=$M$6,D261*G261,IF((C261=$M$7),D261*E261*G261,IF(C261=$M$8,D261*E261*F261*G261,G261))))</f>
        <v>1</v>
      </c>
      <c r="I261" s="121" t="s">
        <v>495</v>
      </c>
    </row>
    <row r="262" spans="1:9" x14ac:dyDescent="0.25">
      <c r="A262" s="650">
        <v>9.6999999999999993</v>
      </c>
      <c r="B262" s="631" t="s">
        <v>501</v>
      </c>
      <c r="C262" s="606" t="s">
        <v>2</v>
      </c>
      <c r="D262" s="148"/>
      <c r="E262" s="149"/>
      <c r="F262" s="149"/>
      <c r="G262" s="150">
        <v>1</v>
      </c>
      <c r="H262" s="149">
        <f>IF(C262=$M$5,G262,IF(C262=$M$6,D262*G262,IF((C262=$M$7),D262*E262*G262,IF(C262=$M$8,D262*E262*F262*G262,G262))))</f>
        <v>1</v>
      </c>
      <c r="I262" s="123" t="s">
        <v>471</v>
      </c>
    </row>
    <row r="263" spans="1:9" x14ac:dyDescent="0.25">
      <c r="A263" s="650"/>
      <c r="B263" s="631"/>
      <c r="C263" s="606"/>
      <c r="D263" s="140"/>
      <c r="E263" s="149"/>
      <c r="F263" s="149"/>
      <c r="G263" s="142">
        <v>1</v>
      </c>
      <c r="H263" s="141">
        <f>IF(C262=$M$5,G263,IF(C262=$M$6,D263*G263,IF((C262=$M$7),D263*E263*G263,IF(C262=$M$8,D263*E263*F263*G263,G263))))</f>
        <v>1</v>
      </c>
      <c r="I263" s="123" t="s">
        <v>686</v>
      </c>
    </row>
    <row r="264" spans="1:9" x14ac:dyDescent="0.25">
      <c r="A264" s="651"/>
      <c r="B264" s="632"/>
      <c r="C264" s="636"/>
      <c r="D264" s="633"/>
      <c r="E264" s="634"/>
      <c r="F264" s="634"/>
      <c r="G264" s="635"/>
      <c r="H264" s="143">
        <f>SUM(H262:H263)</f>
        <v>2</v>
      </c>
      <c r="I264" s="129" t="s">
        <v>461</v>
      </c>
    </row>
    <row r="265" spans="1:9" ht="27" customHeight="1" x14ac:dyDescent="0.25">
      <c r="A265" s="134">
        <v>9.8000000000000007</v>
      </c>
      <c r="B265" s="131" t="s">
        <v>502</v>
      </c>
      <c r="C265" s="132" t="s">
        <v>2</v>
      </c>
      <c r="D265" s="148"/>
      <c r="E265" s="149"/>
      <c r="F265" s="149"/>
      <c r="G265" s="150">
        <v>1</v>
      </c>
      <c r="H265" s="154">
        <f>IF(C265=$M$5,G265,IF(C265=$M$6,D265*G265,IF((C265=$M$7),D265*E265*G265,IF(C265=$M$8,D265*E265*F265*G265,G265))))</f>
        <v>1</v>
      </c>
      <c r="I265" s="123" t="s">
        <v>474</v>
      </c>
    </row>
    <row r="266" spans="1:9" ht="38.25" x14ac:dyDescent="0.25">
      <c r="A266" s="112">
        <v>9.9</v>
      </c>
      <c r="B266" s="107" t="s">
        <v>508</v>
      </c>
      <c r="C266" s="108" t="s">
        <v>2</v>
      </c>
      <c r="D266" s="140"/>
      <c r="E266" s="141"/>
      <c r="F266" s="141"/>
      <c r="G266" s="142">
        <v>1</v>
      </c>
      <c r="H266" s="143">
        <f>IF(C266=$M$5,G266,IF(C266=$M$6,D266*G266,IF((C266=$M$7),D266*E266*G266,IF(C266=$M$8,D266*E266*F266*G266,G266))))</f>
        <v>1</v>
      </c>
      <c r="I266" s="121" t="s">
        <v>509</v>
      </c>
    </row>
    <row r="267" spans="1:9" ht="25.5" x14ac:dyDescent="0.25">
      <c r="A267" s="637">
        <v>9.1</v>
      </c>
      <c r="B267" s="631" t="s">
        <v>503</v>
      </c>
      <c r="C267" s="606" t="s">
        <v>80</v>
      </c>
      <c r="D267" s="148">
        <v>3.82</v>
      </c>
      <c r="E267" s="149"/>
      <c r="F267" s="149"/>
      <c r="G267" s="150">
        <v>1</v>
      </c>
      <c r="H267" s="149">
        <f>IF(C267=$M$5,G267,IF(C267=$M$6,D267*G267,IF((C267=$M$7),D267*E267*G267,IF(C267=$M$8,D267*E267*F267*G267,G267))))</f>
        <v>3.82</v>
      </c>
      <c r="I267" s="123" t="s">
        <v>677</v>
      </c>
    </row>
    <row r="268" spans="1:9" ht="25.5" x14ac:dyDescent="0.25">
      <c r="A268" s="637"/>
      <c r="B268" s="631"/>
      <c r="C268" s="606"/>
      <c r="D268" s="140">
        <v>16.2</v>
      </c>
      <c r="E268" s="149"/>
      <c r="F268" s="149"/>
      <c r="G268" s="142">
        <v>1</v>
      </c>
      <c r="H268" s="141">
        <f>IF(C267=$M$5,G268,IF(C267=$M$6,D268*G268,IF((C267=$M$7),D268*E268*G268,IF(C267=$M$8,D268*E268*F268*G268,G268))))</f>
        <v>16.2</v>
      </c>
      <c r="I268" s="123" t="s">
        <v>678</v>
      </c>
    </row>
    <row r="269" spans="1:9" x14ac:dyDescent="0.25">
      <c r="A269" s="638"/>
      <c r="B269" s="632"/>
      <c r="C269" s="636"/>
      <c r="D269" s="633"/>
      <c r="E269" s="634"/>
      <c r="F269" s="634"/>
      <c r="G269" s="635"/>
      <c r="H269" s="143">
        <f>SUM(H267:H268)</f>
        <v>20.02</v>
      </c>
      <c r="I269" s="129" t="s">
        <v>461</v>
      </c>
    </row>
    <row r="270" spans="1:9" ht="25.5" x14ac:dyDescent="0.25">
      <c r="A270" s="156">
        <v>9.11</v>
      </c>
      <c r="B270" s="157" t="s">
        <v>504</v>
      </c>
      <c r="C270" s="108" t="s">
        <v>80</v>
      </c>
      <c r="D270" s="140">
        <v>4.76</v>
      </c>
      <c r="E270" s="141"/>
      <c r="F270" s="141"/>
      <c r="G270" s="142">
        <v>1</v>
      </c>
      <c r="H270" s="141">
        <f t="shared" ref="H270:H276" si="1">IF(C270=$M$5,G270,IF(C270=$M$6,D270*G270,IF((C270=$M$7),D270*E270*G270,IF(C270=$M$8,D270*E270*F270*G270,G270))))</f>
        <v>4.76</v>
      </c>
      <c r="I270" s="121" t="s">
        <v>469</v>
      </c>
    </row>
    <row r="271" spans="1:9" ht="25.5" x14ac:dyDescent="0.25">
      <c r="A271" s="135">
        <v>9.1199999999999992</v>
      </c>
      <c r="B271" s="131" t="s">
        <v>505</v>
      </c>
      <c r="C271" s="132" t="s">
        <v>80</v>
      </c>
      <c r="D271" s="148">
        <v>3.91</v>
      </c>
      <c r="E271" s="149"/>
      <c r="F271" s="149"/>
      <c r="G271" s="150">
        <v>1</v>
      </c>
      <c r="H271" s="149">
        <f t="shared" si="1"/>
        <v>3.91</v>
      </c>
      <c r="I271" s="123" t="s">
        <v>469</v>
      </c>
    </row>
    <row r="272" spans="1:9" ht="38.25" x14ac:dyDescent="0.25">
      <c r="A272" s="112">
        <v>9.1300000000000008</v>
      </c>
      <c r="B272" s="107" t="s">
        <v>391</v>
      </c>
      <c r="C272" s="108" t="s">
        <v>2</v>
      </c>
      <c r="D272" s="140">
        <v>2.6</v>
      </c>
      <c r="E272" s="141">
        <v>2</v>
      </c>
      <c r="F272" s="141">
        <v>2.6</v>
      </c>
      <c r="G272" s="142">
        <v>1</v>
      </c>
      <c r="H272" s="143">
        <f t="shared" si="1"/>
        <v>1</v>
      </c>
      <c r="I272" s="121" t="s">
        <v>511</v>
      </c>
    </row>
    <row r="273" spans="1:11" ht="25.5" x14ac:dyDescent="0.25">
      <c r="A273" s="116">
        <v>9.14</v>
      </c>
      <c r="B273" s="107" t="s">
        <v>395</v>
      </c>
      <c r="C273" s="108" t="s">
        <v>2</v>
      </c>
      <c r="D273" s="140"/>
      <c r="E273" s="141"/>
      <c r="F273" s="141"/>
      <c r="G273" s="142">
        <v>1</v>
      </c>
      <c r="H273" s="143">
        <f t="shared" si="1"/>
        <v>1</v>
      </c>
      <c r="I273" s="121" t="s">
        <v>495</v>
      </c>
    </row>
    <row r="274" spans="1:11" ht="25.5" x14ac:dyDescent="0.25">
      <c r="A274" s="112">
        <v>9.15</v>
      </c>
      <c r="B274" s="107" t="s">
        <v>510</v>
      </c>
      <c r="C274" s="108" t="s">
        <v>75</v>
      </c>
      <c r="D274" s="140">
        <v>1.8</v>
      </c>
      <c r="E274" s="141">
        <v>0.7</v>
      </c>
      <c r="F274" s="141"/>
      <c r="G274" s="142">
        <v>1</v>
      </c>
      <c r="H274" s="143">
        <f t="shared" si="1"/>
        <v>1.26</v>
      </c>
      <c r="I274" s="121" t="s">
        <v>495</v>
      </c>
    </row>
    <row r="275" spans="1:11" ht="25.5" x14ac:dyDescent="0.25">
      <c r="A275" s="124">
        <v>9.16</v>
      </c>
      <c r="B275" s="125" t="s">
        <v>687</v>
      </c>
      <c r="C275" s="133" t="s">
        <v>2</v>
      </c>
      <c r="D275" s="148"/>
      <c r="E275" s="149"/>
      <c r="F275" s="149"/>
      <c r="G275" s="150">
        <v>1</v>
      </c>
      <c r="H275" s="154">
        <f t="shared" si="1"/>
        <v>1</v>
      </c>
      <c r="I275" s="123" t="s">
        <v>471</v>
      </c>
    </row>
    <row r="276" spans="1:11" x14ac:dyDescent="0.25">
      <c r="A276" s="637">
        <v>9.17</v>
      </c>
      <c r="B276" s="631" t="s">
        <v>688</v>
      </c>
      <c r="C276" s="606" t="s">
        <v>2</v>
      </c>
      <c r="D276" s="148"/>
      <c r="E276" s="149"/>
      <c r="F276" s="149"/>
      <c r="G276" s="150">
        <v>3</v>
      </c>
      <c r="H276" s="149">
        <f t="shared" si="1"/>
        <v>3</v>
      </c>
      <c r="I276" s="123" t="s">
        <v>689</v>
      </c>
    </row>
    <row r="277" spans="1:11" x14ac:dyDescent="0.25">
      <c r="A277" s="637"/>
      <c r="B277" s="631"/>
      <c r="C277" s="606"/>
      <c r="D277" s="140"/>
      <c r="E277" s="149"/>
      <c r="F277" s="149"/>
      <c r="G277" s="150">
        <v>3</v>
      </c>
      <c r="H277" s="141">
        <f>IF(C276=$M$5,G277,IF(C276=$M$6,D277*G277,IF((C276=$M$7),D277*E277*G277,IF(C276=$M$8,D277*E277*F277*G277,G277))))</f>
        <v>3</v>
      </c>
      <c r="I277" s="123" t="s">
        <v>690</v>
      </c>
    </row>
    <row r="278" spans="1:11" x14ac:dyDescent="0.25">
      <c r="A278" s="638"/>
      <c r="B278" s="632"/>
      <c r="C278" s="636"/>
      <c r="D278" s="633"/>
      <c r="E278" s="634"/>
      <c r="F278" s="634"/>
      <c r="G278" s="635"/>
      <c r="H278" s="143">
        <f>SUM(H276:H277)</f>
        <v>6</v>
      </c>
      <c r="I278" s="129" t="s">
        <v>461</v>
      </c>
    </row>
    <row r="279" spans="1:11" x14ac:dyDescent="0.25">
      <c r="A279" s="637">
        <v>9.18</v>
      </c>
      <c r="B279" s="631" t="s">
        <v>506</v>
      </c>
      <c r="C279" s="606" t="s">
        <v>80</v>
      </c>
      <c r="D279" s="140">
        <v>27.36</v>
      </c>
      <c r="E279" s="149"/>
      <c r="F279" s="149"/>
      <c r="G279" s="150">
        <v>1</v>
      </c>
      <c r="H279" s="149">
        <f>IF(C279=$M$5,G279,IF(C279=$M$6,D279*G279,IF((C279=$M$7),D279*E279*G279,IF(C279=$M$8,D279*E279*F279*G279,G279))))</f>
        <v>27.36</v>
      </c>
      <c r="I279" s="123" t="s">
        <v>679</v>
      </c>
      <c r="K279" s="387" t="s">
        <v>926</v>
      </c>
    </row>
    <row r="280" spans="1:11" ht="25.5" x14ac:dyDescent="0.25">
      <c r="A280" s="637"/>
      <c r="B280" s="631"/>
      <c r="C280" s="606"/>
      <c r="D280" s="140">
        <v>10.31</v>
      </c>
      <c r="E280" s="149"/>
      <c r="F280" s="149"/>
      <c r="G280" s="142">
        <v>1</v>
      </c>
      <c r="H280" s="141">
        <f>IF(C279=$M$5,G280,IF(C279=$M$6,D280*G280,IF((C279=$M$7),D280*E280*G280,IF(C279=$M$8,D280*E280*F280*G280,G280))))</f>
        <v>10.31</v>
      </c>
      <c r="I280" s="123" t="s">
        <v>680</v>
      </c>
    </row>
    <row r="281" spans="1:11" ht="25.5" x14ac:dyDescent="0.25">
      <c r="A281" s="637"/>
      <c r="B281" s="631"/>
      <c r="C281" s="606"/>
      <c r="D281" s="140">
        <v>21.79</v>
      </c>
      <c r="E281" s="149"/>
      <c r="F281" s="149"/>
      <c r="G281" s="142">
        <v>1</v>
      </c>
      <c r="H281" s="141">
        <f>IF(C279=$M$5,G281,IF(C279=$M$6,D281*G281,IF((C279=$M$7),D281*E281*G281,IF(C279=$M$8,D281*E281*F281*G281,G281))))</f>
        <v>21.79</v>
      </c>
      <c r="I281" s="123" t="s">
        <v>681</v>
      </c>
    </row>
    <row r="282" spans="1:11" x14ac:dyDescent="0.25">
      <c r="A282" s="638"/>
      <c r="B282" s="632"/>
      <c r="C282" s="636"/>
      <c r="D282" s="633"/>
      <c r="E282" s="634"/>
      <c r="F282" s="634"/>
      <c r="G282" s="635"/>
      <c r="H282" s="143">
        <f>SUM(H279:H281)</f>
        <v>59.46</v>
      </c>
      <c r="I282" s="129" t="s">
        <v>461</v>
      </c>
    </row>
    <row r="283" spans="1:11" ht="25.5" x14ac:dyDescent="0.25">
      <c r="A283" s="116">
        <v>9.19</v>
      </c>
      <c r="B283" s="107" t="s">
        <v>507</v>
      </c>
      <c r="C283" s="108" t="s">
        <v>80</v>
      </c>
      <c r="D283" s="140">
        <v>4.96</v>
      </c>
      <c r="E283" s="141"/>
      <c r="F283" s="141"/>
      <c r="G283" s="142">
        <v>1</v>
      </c>
      <c r="H283" s="143">
        <f>IF(C283=$M$5,G283,IF(C283=$M$6,D283*G283,IF((C283=$M$7),D283*E283*G283,IF(C283=$M$8,D283*E283*F283*G283,G283))))</f>
        <v>4.96</v>
      </c>
      <c r="I283" s="121" t="s">
        <v>683</v>
      </c>
    </row>
    <row r="284" spans="1:11" x14ac:dyDescent="0.25">
      <c r="A284" s="599">
        <v>9.1999999999999993</v>
      </c>
      <c r="B284" s="602" t="s">
        <v>691</v>
      </c>
      <c r="C284" s="605" t="s">
        <v>80</v>
      </c>
      <c r="D284" s="148">
        <v>159.69</v>
      </c>
      <c r="E284" s="149"/>
      <c r="F284" s="149"/>
      <c r="G284" s="150">
        <v>1</v>
      </c>
      <c r="H284" s="149">
        <f>IF(C284=$M$5,G284,IF(C284=$M$6,D284*G284,IF((C284=$M$7),D284*E284*G284,IF(C284=$M$8,D284*E284*F284*G284,G284))))</f>
        <v>159.69</v>
      </c>
      <c r="I284" s="123" t="s">
        <v>679</v>
      </c>
    </row>
    <row r="285" spans="1:11" ht="25.5" x14ac:dyDescent="0.25">
      <c r="A285" s="600"/>
      <c r="B285" s="603"/>
      <c r="C285" s="606"/>
      <c r="D285" s="148">
        <v>33.06</v>
      </c>
      <c r="E285" s="149"/>
      <c r="F285" s="149"/>
      <c r="G285" s="150">
        <v>1</v>
      </c>
      <c r="H285" s="149">
        <f>+D285*G285</f>
        <v>33.06</v>
      </c>
      <c r="I285" s="123" t="s">
        <v>684</v>
      </c>
    </row>
    <row r="286" spans="1:11" ht="15.75" thickBot="1" x14ac:dyDescent="0.3">
      <c r="A286" s="601"/>
      <c r="B286" s="604"/>
      <c r="C286" s="607"/>
      <c r="D286" s="148"/>
      <c r="E286" s="149"/>
      <c r="F286" s="149"/>
      <c r="G286" s="150">
        <v>1</v>
      </c>
      <c r="H286" s="143">
        <f>SUM(H284:H285)</f>
        <v>192.75</v>
      </c>
      <c r="I286" s="129" t="s">
        <v>461</v>
      </c>
    </row>
    <row r="287" spans="1:11" ht="15.75" thickBot="1" x14ac:dyDescent="0.3">
      <c r="A287" s="106">
        <v>10</v>
      </c>
      <c r="B287" s="625" t="s">
        <v>512</v>
      </c>
      <c r="C287" s="625"/>
      <c r="D287" s="625"/>
      <c r="E287" s="625"/>
      <c r="F287" s="625"/>
      <c r="G287" s="625"/>
      <c r="H287" s="625"/>
      <c r="I287" s="626"/>
    </row>
    <row r="288" spans="1:11" ht="38.25" x14ac:dyDescent="0.25">
      <c r="A288" s="109">
        <v>10.1</v>
      </c>
      <c r="B288" s="110" t="s">
        <v>44</v>
      </c>
      <c r="C288" s="111" t="s">
        <v>75</v>
      </c>
      <c r="D288" s="136">
        <v>709.91</v>
      </c>
      <c r="E288" s="137">
        <v>1</v>
      </c>
      <c r="F288" s="137"/>
      <c r="G288" s="138">
        <v>1</v>
      </c>
      <c r="H288" s="139">
        <f>IF(C288=$M$5,G288,IF(C288=$M$6,D288*G288,IF((C288=$M$7),D288*E288*G288,IF(C288=$M$8,D288*E288*F288*G288,G288))))</f>
        <v>709.91</v>
      </c>
      <c r="I288" s="128" t="s">
        <v>513</v>
      </c>
    </row>
    <row r="289" spans="1:9" ht="25.5" customHeight="1" x14ac:dyDescent="0.25">
      <c r="A289" s="639">
        <v>10.199999999999999</v>
      </c>
      <c r="B289" s="640" t="s">
        <v>53</v>
      </c>
      <c r="C289" s="605" t="s">
        <v>75</v>
      </c>
      <c r="D289" s="140">
        <v>774.31</v>
      </c>
      <c r="E289" s="141">
        <v>1</v>
      </c>
      <c r="F289" s="141"/>
      <c r="G289" s="142">
        <v>1</v>
      </c>
      <c r="H289" s="149">
        <f>IF(C289=$M$5,G289,IF(C289=$M$6,D289*G289,IF((C289=$M$7),D289*E289*G289,IF(C289=$M$8,D289*E289*F289*G289,G289))))</f>
        <v>774.31</v>
      </c>
      <c r="I289" s="121" t="s">
        <v>514</v>
      </c>
    </row>
    <row r="290" spans="1:9" ht="25.5" customHeight="1" x14ac:dyDescent="0.25">
      <c r="A290" s="628"/>
      <c r="B290" s="631"/>
      <c r="C290" s="606"/>
      <c r="D290" s="140">
        <v>32.46</v>
      </c>
      <c r="E290" s="141">
        <v>1</v>
      </c>
      <c r="F290" s="141"/>
      <c r="G290" s="142">
        <v>1</v>
      </c>
      <c r="H290" s="141">
        <f>IF(C289=$M$5,G290,IF(C289=$M$6,D290*G290,IF((C289=$M$7),D290*E290*G290,IF(C289=$M$8,D290*E290*F290*G290,G290))))</f>
        <v>32.46</v>
      </c>
      <c r="I290" s="121" t="s">
        <v>487</v>
      </c>
    </row>
    <row r="291" spans="1:9" ht="25.5" customHeight="1" x14ac:dyDescent="0.25">
      <c r="A291" s="628"/>
      <c r="B291" s="631"/>
      <c r="C291" s="606"/>
      <c r="D291" s="140">
        <v>32.160000000000004</v>
      </c>
      <c r="E291" s="141">
        <v>1</v>
      </c>
      <c r="F291" s="141"/>
      <c r="G291" s="142">
        <v>1</v>
      </c>
      <c r="H291" s="141">
        <f>IF(C289=$M$5,G291,IF(C289=$M$6,D291*G291,IF((C289=$M$7),D291*E291*G291,IF(C289=$M$8,D291*E291*F291*G291,G291))))</f>
        <v>32.160000000000004</v>
      </c>
      <c r="I291" s="121" t="s">
        <v>488</v>
      </c>
    </row>
    <row r="292" spans="1:9" ht="25.5" customHeight="1" x14ac:dyDescent="0.25">
      <c r="A292" s="628"/>
      <c r="B292" s="631"/>
      <c r="C292" s="606"/>
      <c r="D292" s="140">
        <v>52.94</v>
      </c>
      <c r="E292" s="141">
        <v>1</v>
      </c>
      <c r="F292" s="141"/>
      <c r="G292" s="142">
        <v>1</v>
      </c>
      <c r="H292" s="141">
        <f>IF(C289=$M$5,G292,IF(C289=$M$6,D292*G292,IF((C289=$M$7),D292*E292*G292,IF(C289=$M$8,D292*E292*F292*G292,G292))))</f>
        <v>52.94</v>
      </c>
      <c r="I292" s="121" t="s">
        <v>490</v>
      </c>
    </row>
    <row r="293" spans="1:9" x14ac:dyDescent="0.25">
      <c r="A293" s="629"/>
      <c r="B293" s="632"/>
      <c r="C293" s="636"/>
      <c r="D293" s="633"/>
      <c r="E293" s="634"/>
      <c r="F293" s="634"/>
      <c r="G293" s="635"/>
      <c r="H293" s="143">
        <f>SUM(H289:H292)</f>
        <v>891.86999999999989</v>
      </c>
      <c r="I293" s="129" t="s">
        <v>461</v>
      </c>
    </row>
    <row r="294" spans="1:9" ht="38.25" customHeight="1" x14ac:dyDescent="0.25">
      <c r="A294" s="639">
        <v>10.3</v>
      </c>
      <c r="B294" s="640" t="s">
        <v>515</v>
      </c>
      <c r="C294" s="647" t="s">
        <v>75</v>
      </c>
      <c r="D294" s="140">
        <v>30.81</v>
      </c>
      <c r="E294" s="141">
        <v>1</v>
      </c>
      <c r="F294" s="141"/>
      <c r="G294" s="142">
        <v>1</v>
      </c>
      <c r="H294" s="143">
        <f>IF(C294=$M$5,G294,IF(C294=$M$6,D294*G294,IF((C294=$M$7),D294*E294*G294,IF(C294=$M$8,D294*E294*F294*G294,G294))))</f>
        <v>30.81</v>
      </c>
      <c r="I294" s="121" t="s">
        <v>469</v>
      </c>
    </row>
    <row r="295" spans="1:9" x14ac:dyDescent="0.25">
      <c r="A295" s="628"/>
      <c r="B295" s="631"/>
      <c r="C295" s="648"/>
      <c r="D295" s="140">
        <v>29.57</v>
      </c>
      <c r="E295" s="141">
        <v>1</v>
      </c>
      <c r="F295" s="141"/>
      <c r="G295" s="142">
        <v>1</v>
      </c>
      <c r="H295" s="143">
        <f>IF(C294=$M$5,G295,IF(C294=$M$6,D295*G295,IF((C294=$M$7),D295*E295*G295,IF(C294=$M$8,D295*E295*F295*G295,G295))))</f>
        <v>29.57</v>
      </c>
      <c r="I295" s="121" t="s">
        <v>471</v>
      </c>
    </row>
    <row r="296" spans="1:9" x14ac:dyDescent="0.25">
      <c r="A296" s="628"/>
      <c r="B296" s="631"/>
      <c r="C296" s="648"/>
      <c r="D296" s="140">
        <v>2.0499999999999998</v>
      </c>
      <c r="E296" s="141">
        <v>1.75</v>
      </c>
      <c r="F296" s="141"/>
      <c r="G296" s="142">
        <v>0.90200000000000002</v>
      </c>
      <c r="H296" s="143">
        <f>IF(C294=$M$5,G296,IF(C294=$M$6,D296*G296,IF((C294=$M$7),D296*E296*G296,IF(C294=$M$8,D296*E296*F296*G296,G296))))</f>
        <v>3.2359249999999995</v>
      </c>
      <c r="I296" s="121" t="s">
        <v>474</v>
      </c>
    </row>
    <row r="297" spans="1:9" ht="15.75" thickBot="1" x14ac:dyDescent="0.3">
      <c r="A297" s="643"/>
      <c r="B297" s="644"/>
      <c r="C297" s="649"/>
      <c r="D297" s="633"/>
      <c r="E297" s="634"/>
      <c r="F297" s="634"/>
      <c r="G297" s="635"/>
      <c r="H297" s="143">
        <f>H295+H296+H294</f>
        <v>63.615925000000004</v>
      </c>
      <c r="I297" s="129" t="s">
        <v>461</v>
      </c>
    </row>
    <row r="298" spans="1:9" ht="15.75" thickBot="1" x14ac:dyDescent="0.3">
      <c r="A298" s="122">
        <v>11</v>
      </c>
      <c r="B298" s="641" t="s">
        <v>516</v>
      </c>
      <c r="C298" s="641"/>
      <c r="D298" s="641"/>
      <c r="E298" s="641"/>
      <c r="F298" s="641"/>
      <c r="G298" s="641"/>
      <c r="H298" s="641"/>
      <c r="I298" s="642"/>
    </row>
    <row r="299" spans="1:9" ht="25.5" x14ac:dyDescent="0.25">
      <c r="A299" s="124">
        <v>11.1</v>
      </c>
      <c r="B299" s="125" t="s">
        <v>32</v>
      </c>
      <c r="C299" s="118" t="s">
        <v>2</v>
      </c>
      <c r="D299" s="148"/>
      <c r="E299" s="149"/>
      <c r="F299" s="149"/>
      <c r="G299" s="150">
        <v>1</v>
      </c>
      <c r="H299" s="154">
        <f>IF(C299=$M$5,G299,IF(C299=$M$6,D299*G299,IF((C299=$M$7),D299*E299*G299,IF(C299=$M$8,D299*E299*F299*G299,G299))))</f>
        <v>1</v>
      </c>
      <c r="I299" s="123" t="s">
        <v>474</v>
      </c>
    </row>
    <row r="300" spans="1:9" x14ac:dyDescent="0.25">
      <c r="A300" s="639">
        <v>11.2</v>
      </c>
      <c r="B300" s="640" t="s">
        <v>35</v>
      </c>
      <c r="C300" s="605" t="s">
        <v>2</v>
      </c>
      <c r="D300" s="140"/>
      <c r="E300" s="141"/>
      <c r="F300" s="141"/>
      <c r="G300" s="142">
        <v>3</v>
      </c>
      <c r="H300" s="141">
        <f>IF(C300=$M$5,G300,IF(C300=$M$6,D300*G300,IF((C300=$M$7),D300*E300*G300,IF(C300=$M$8,D300*E300*F300*G300,G300))))</f>
        <v>3</v>
      </c>
      <c r="I300" s="121" t="s">
        <v>469</v>
      </c>
    </row>
    <row r="301" spans="1:9" x14ac:dyDescent="0.25">
      <c r="A301" s="628"/>
      <c r="B301" s="631"/>
      <c r="C301" s="606"/>
      <c r="D301" s="140"/>
      <c r="E301" s="141"/>
      <c r="F301" s="141"/>
      <c r="G301" s="142">
        <v>3</v>
      </c>
      <c r="H301" s="141">
        <f>IF(C300=$M$5,G301,IF(C300=$M$6,D301*G301,IF((C300=$M$7),D301*E301*G301,IF(C300=$M$8,D301*E301*F301*G301,G301))))</f>
        <v>3</v>
      </c>
      <c r="I301" s="121" t="s">
        <v>471</v>
      </c>
    </row>
    <row r="302" spans="1:9" x14ac:dyDescent="0.25">
      <c r="A302" s="629"/>
      <c r="B302" s="632"/>
      <c r="C302" s="636"/>
      <c r="D302" s="633"/>
      <c r="E302" s="634"/>
      <c r="F302" s="634"/>
      <c r="G302" s="635"/>
      <c r="H302" s="143">
        <f>+H300+H301</f>
        <v>6</v>
      </c>
      <c r="I302" s="129" t="s">
        <v>461</v>
      </c>
    </row>
    <row r="303" spans="1:9" x14ac:dyDescent="0.25">
      <c r="A303" s="639">
        <v>11.3</v>
      </c>
      <c r="B303" s="640" t="s">
        <v>36</v>
      </c>
      <c r="C303" s="605" t="s">
        <v>2</v>
      </c>
      <c r="D303" s="140"/>
      <c r="E303" s="141"/>
      <c r="F303" s="141"/>
      <c r="G303" s="142">
        <v>3</v>
      </c>
      <c r="H303" s="141">
        <f>IF(C303=$M$5,G303,IF(C303=$M$6,D303*G303,IF((C303=$M$7),D303*E303*G303,IF(C303=$M$8,D303*E303*F303*G303,G303))))</f>
        <v>3</v>
      </c>
      <c r="I303" s="121" t="s">
        <v>469</v>
      </c>
    </row>
    <row r="304" spans="1:9" x14ac:dyDescent="0.25">
      <c r="A304" s="628"/>
      <c r="B304" s="631"/>
      <c r="C304" s="606"/>
      <c r="D304" s="140"/>
      <c r="E304" s="141"/>
      <c r="F304" s="141"/>
      <c r="G304" s="142">
        <v>3</v>
      </c>
      <c r="H304" s="141">
        <f>IF(C303=$M$5,G304,IF(C303=$M$6,D304*G304,IF((C303=$M$7),D304*E304*G304,IF(C303=$M$8,D304*E304*F304*G304,G304))))</f>
        <v>3</v>
      </c>
      <c r="I304" s="121" t="s">
        <v>471</v>
      </c>
    </row>
    <row r="305" spans="1:9" x14ac:dyDescent="0.25">
      <c r="A305" s="629"/>
      <c r="B305" s="632"/>
      <c r="C305" s="636"/>
      <c r="D305" s="633"/>
      <c r="E305" s="634"/>
      <c r="F305" s="634"/>
      <c r="G305" s="635"/>
      <c r="H305" s="143">
        <f>+H303+H304</f>
        <v>6</v>
      </c>
      <c r="I305" s="129" t="s">
        <v>461</v>
      </c>
    </row>
    <row r="306" spans="1:9" ht="38.25" x14ac:dyDescent="0.25">
      <c r="A306" s="112">
        <v>11.4</v>
      </c>
      <c r="B306" s="107" t="s">
        <v>37</v>
      </c>
      <c r="C306" s="108" t="s">
        <v>2</v>
      </c>
      <c r="D306" s="140"/>
      <c r="E306" s="141"/>
      <c r="F306" s="141"/>
      <c r="G306" s="142">
        <v>1</v>
      </c>
      <c r="H306" s="143">
        <f>IF(C306=$M$5,G306,IF(C306=$M$6,D306*G306,IF((C306=$M$7),D306*E306*G306,IF(C306=$M$8,D306*E306*F306*G306,G306))))</f>
        <v>1</v>
      </c>
      <c r="I306" s="121" t="s">
        <v>474</v>
      </c>
    </row>
    <row r="307" spans="1:9" x14ac:dyDescent="0.25">
      <c r="A307" s="639">
        <v>11.5</v>
      </c>
      <c r="B307" s="640" t="s">
        <v>38</v>
      </c>
      <c r="C307" s="605" t="s">
        <v>2</v>
      </c>
      <c r="D307" s="140"/>
      <c r="E307" s="141"/>
      <c r="F307" s="141"/>
      <c r="G307" s="142">
        <v>1</v>
      </c>
      <c r="H307" s="141">
        <f>IF(C307=$M$5,G307,IF(C307=$M$6,D307*G307,IF((C307=$M$7),D307*E307*G307,IF(C307=$M$8,D307*E307*F307*G307,G307))))</f>
        <v>1</v>
      </c>
      <c r="I307" s="121" t="s">
        <v>469</v>
      </c>
    </row>
    <row r="308" spans="1:9" x14ac:dyDescent="0.25">
      <c r="A308" s="628"/>
      <c r="B308" s="631"/>
      <c r="C308" s="606"/>
      <c r="D308" s="140"/>
      <c r="E308" s="141"/>
      <c r="F308" s="141"/>
      <c r="G308" s="142">
        <v>1</v>
      </c>
      <c r="H308" s="141">
        <f>IF(C307=$M$5,G308,IF(C307=$M$6,D308*G308,IF((C307=$M$7),D308*E308*G308,IF(C307=$M$8,D308*E308*F308*G308,G308))))</f>
        <v>1</v>
      </c>
      <c r="I308" s="121" t="s">
        <v>471</v>
      </c>
    </row>
    <row r="309" spans="1:9" x14ac:dyDescent="0.25">
      <c r="A309" s="629"/>
      <c r="B309" s="632"/>
      <c r="C309" s="636"/>
      <c r="D309" s="633"/>
      <c r="E309" s="634"/>
      <c r="F309" s="634"/>
      <c r="G309" s="635"/>
      <c r="H309" s="143">
        <f>+H307+H308</f>
        <v>2</v>
      </c>
      <c r="I309" s="129" t="s">
        <v>461</v>
      </c>
    </row>
    <row r="310" spans="1:9" ht="25.5" x14ac:dyDescent="0.25">
      <c r="A310" s="112">
        <v>11.6</v>
      </c>
      <c r="B310" s="107" t="s">
        <v>39</v>
      </c>
      <c r="C310" s="108" t="s">
        <v>2</v>
      </c>
      <c r="D310" s="140"/>
      <c r="E310" s="141"/>
      <c r="F310" s="141"/>
      <c r="G310" s="142">
        <v>3</v>
      </c>
      <c r="H310" s="143">
        <f>IF(C310=$M$5,G310,IF(C310=$M$6,D310*G310,IF((C310=$M$7),D310*E310*G310,IF(C310=$M$8,D310*E310*F310*G310,G310))))</f>
        <v>3</v>
      </c>
      <c r="I310" s="121" t="s">
        <v>469</v>
      </c>
    </row>
    <row r="311" spans="1:9" x14ac:dyDescent="0.25">
      <c r="A311" s="639">
        <v>11.7</v>
      </c>
      <c r="B311" s="640" t="s">
        <v>40</v>
      </c>
      <c r="C311" s="605" t="s">
        <v>2</v>
      </c>
      <c r="D311" s="140"/>
      <c r="E311" s="141"/>
      <c r="F311" s="141"/>
      <c r="G311" s="142">
        <v>1</v>
      </c>
      <c r="H311" s="141">
        <f>IF(C311=$M$5,G311,IF(C311=$M$6,D311*G311,IF((C311=$M$7),D311*E311*G311,IF(C311=$M$8,D311*E311*F311*G311,G311))))</f>
        <v>1</v>
      </c>
      <c r="I311" s="121" t="s">
        <v>469</v>
      </c>
    </row>
    <row r="312" spans="1:9" x14ac:dyDescent="0.25">
      <c r="A312" s="628"/>
      <c r="B312" s="631"/>
      <c r="C312" s="606"/>
      <c r="D312" s="140"/>
      <c r="E312" s="141"/>
      <c r="F312" s="141"/>
      <c r="G312" s="142">
        <v>1</v>
      </c>
      <c r="H312" s="141">
        <f>IF(C311=$M$5,G312,IF(C311=$M$6,D312*G312,IF((C311=$M$7),D312*E312*G312,IF(C311=$M$8,D312*E312*F312*G312,G312))))</f>
        <v>1</v>
      </c>
      <c r="I312" s="121" t="s">
        <v>471</v>
      </c>
    </row>
    <row r="313" spans="1:9" x14ac:dyDescent="0.25">
      <c r="A313" s="629"/>
      <c r="B313" s="632"/>
      <c r="C313" s="636"/>
      <c r="D313" s="633"/>
      <c r="E313" s="634"/>
      <c r="F313" s="634"/>
      <c r="G313" s="635"/>
      <c r="H313" s="143">
        <f>+H311+H312</f>
        <v>2</v>
      </c>
      <c r="I313" s="129" t="s">
        <v>461</v>
      </c>
    </row>
    <row r="314" spans="1:9" x14ac:dyDescent="0.25">
      <c r="A314" s="628">
        <v>11.8</v>
      </c>
      <c r="B314" s="631" t="s">
        <v>650</v>
      </c>
      <c r="C314" s="606" t="s">
        <v>75</v>
      </c>
      <c r="D314" s="148">
        <v>0.8</v>
      </c>
      <c r="E314" s="149">
        <v>1</v>
      </c>
      <c r="F314" s="149"/>
      <c r="G314" s="150">
        <v>1</v>
      </c>
      <c r="H314" s="149">
        <f>IF(C314=$M$5,G314,IF(C314=$M$6,D314*G314,IF((C314=$M$7),D314*E314*G314,IF(C314=$M$8,D314*E314*F314*G314,G314))))</f>
        <v>0.8</v>
      </c>
      <c r="I314" s="123" t="s">
        <v>474</v>
      </c>
    </row>
    <row r="315" spans="1:9" x14ac:dyDescent="0.25">
      <c r="A315" s="628"/>
      <c r="B315" s="631"/>
      <c r="C315" s="606"/>
      <c r="D315" s="140">
        <v>2.23</v>
      </c>
      <c r="E315" s="149">
        <v>1</v>
      </c>
      <c r="F315" s="149"/>
      <c r="G315" s="142">
        <v>1</v>
      </c>
      <c r="H315" s="141">
        <f>IF(C314=$M$5,G315,IF(C314=$M$6,D315*G315,IF((C314=$M$7),D315*E315*G315,IF(C314=$M$8,D315*E315*F315*G315,G315))))</f>
        <v>2.23</v>
      </c>
      <c r="I315" s="123" t="s">
        <v>487</v>
      </c>
    </row>
    <row r="316" spans="1:9" x14ac:dyDescent="0.25">
      <c r="A316" s="628"/>
      <c r="B316" s="631"/>
      <c r="C316" s="606"/>
      <c r="D316" s="140">
        <v>0.8</v>
      </c>
      <c r="E316" s="149">
        <v>1</v>
      </c>
      <c r="F316" s="149"/>
      <c r="G316" s="142">
        <v>1</v>
      </c>
      <c r="H316" s="141">
        <f>IF(C314=$M$5,G316,IF(C314=$M$6,D316*G316,IF((C314=$M$7),D316*E316*G316,IF(C314=$M$8,D316*E316*F316*G316,G316))))</f>
        <v>0.8</v>
      </c>
      <c r="I316" s="123" t="s">
        <v>652</v>
      </c>
    </row>
    <row r="317" spans="1:9" x14ac:dyDescent="0.25">
      <c r="A317" s="628"/>
      <c r="B317" s="631"/>
      <c r="C317" s="606"/>
      <c r="D317" s="140">
        <v>2.33</v>
      </c>
      <c r="E317" s="149">
        <v>1</v>
      </c>
      <c r="F317" s="149"/>
      <c r="G317" s="142">
        <v>1</v>
      </c>
      <c r="H317" s="141">
        <f>IF(C314=$M$5,G317,IF(C314=$M$6,D317*G317,IF((C314=$M$7),D317*E317*G317,IF(C314=$M$8,D317*E317*F317*G317,G317))))</f>
        <v>2.33</v>
      </c>
      <c r="I317" s="123" t="s">
        <v>488</v>
      </c>
    </row>
    <row r="318" spans="1:9" x14ac:dyDescent="0.25">
      <c r="A318" s="628"/>
      <c r="B318" s="631"/>
      <c r="C318" s="606"/>
      <c r="D318" s="140">
        <v>0.8</v>
      </c>
      <c r="E318" s="149">
        <v>1</v>
      </c>
      <c r="F318" s="149"/>
      <c r="G318" s="142">
        <v>1</v>
      </c>
      <c r="H318" s="141">
        <f>IF(C314=$M$5,G318,IF(C314=$M$6,D318*G318,IF((C314=$M$7),D318*E318*G318,IF(C314=$M$8,D318*E318*F318*G318,G318))))</f>
        <v>0.8</v>
      </c>
      <c r="I318" s="123" t="s">
        <v>653</v>
      </c>
    </row>
    <row r="319" spans="1:9" x14ac:dyDescent="0.25">
      <c r="A319" s="629"/>
      <c r="B319" s="632"/>
      <c r="C319" s="636"/>
      <c r="D319" s="633"/>
      <c r="E319" s="634"/>
      <c r="F319" s="634"/>
      <c r="G319" s="635"/>
      <c r="H319" s="143">
        <f>SUM(H314:H318)</f>
        <v>6.96</v>
      </c>
      <c r="I319" s="129" t="s">
        <v>461</v>
      </c>
    </row>
    <row r="320" spans="1:9" ht="90" thickBot="1" x14ac:dyDescent="0.3">
      <c r="A320" s="120">
        <v>11.9</v>
      </c>
      <c r="B320" s="114" t="s">
        <v>517</v>
      </c>
      <c r="C320" s="115" t="s">
        <v>518</v>
      </c>
      <c r="D320" s="144"/>
      <c r="E320" s="145"/>
      <c r="F320" s="145"/>
      <c r="G320" s="146">
        <v>1</v>
      </c>
      <c r="H320" s="147">
        <f>IF(C320=$M$5,G320,IF(C320=$M$6,D320*G320,IF((C320=$M$7),D320*E320*G320,IF(C320=$M$8,D320*E320*F320*G320,G320))))</f>
        <v>1</v>
      </c>
      <c r="I320" s="121" t="s">
        <v>471</v>
      </c>
    </row>
    <row r="321" spans="1:9" ht="15.75" thickBot="1" x14ac:dyDescent="0.3">
      <c r="A321" s="106">
        <v>12</v>
      </c>
      <c r="B321" s="625" t="s">
        <v>519</v>
      </c>
      <c r="C321" s="625"/>
      <c r="D321" s="625"/>
      <c r="E321" s="625"/>
      <c r="F321" s="625"/>
      <c r="G321" s="625"/>
      <c r="H321" s="625"/>
      <c r="I321" s="626"/>
    </row>
    <row r="322" spans="1:9" x14ac:dyDescent="0.25">
      <c r="A322" s="627">
        <v>12.1</v>
      </c>
      <c r="B322" s="630" t="s">
        <v>543</v>
      </c>
      <c r="C322" s="615" t="s">
        <v>75</v>
      </c>
      <c r="D322" s="136">
        <v>1.05</v>
      </c>
      <c r="E322" s="137">
        <v>2</v>
      </c>
      <c r="F322" s="137"/>
      <c r="G322" s="138">
        <v>1</v>
      </c>
      <c r="H322" s="137">
        <f>IF(C322=$M$5,G322,IF(C322=$M$6,D322*G322,IF((C322=$M$7),D322*E322*G322,IF(C322=$M$8,D322*E322*F322*G322,G322))))</f>
        <v>2.1</v>
      </c>
      <c r="I322" s="128" t="s">
        <v>469</v>
      </c>
    </row>
    <row r="323" spans="1:9" x14ac:dyDescent="0.25">
      <c r="A323" s="628"/>
      <c r="B323" s="631"/>
      <c r="C323" s="606"/>
      <c r="D323" s="140">
        <v>0.95</v>
      </c>
      <c r="E323" s="141">
        <v>2</v>
      </c>
      <c r="F323" s="141"/>
      <c r="G323" s="142">
        <v>1</v>
      </c>
      <c r="H323" s="141">
        <f>IF(C322=$M$5,G323,IF(C322=$M$6,D323*G323,IF((C322=$M$7),D323*E323*G323,IF(C322=$M$8,D323*E323*F323*G323,G323))))</f>
        <v>1.9</v>
      </c>
      <c r="I323" s="121" t="s">
        <v>470</v>
      </c>
    </row>
    <row r="324" spans="1:9" x14ac:dyDescent="0.25">
      <c r="A324" s="628"/>
      <c r="B324" s="631"/>
      <c r="C324" s="606"/>
      <c r="D324" s="140">
        <v>1.05</v>
      </c>
      <c r="E324" s="141">
        <v>2</v>
      </c>
      <c r="F324" s="141"/>
      <c r="G324" s="142">
        <v>1</v>
      </c>
      <c r="H324" s="141">
        <f>IF(C322=$M$5,G324,IF(C322=$M$6,D324*G324,IF((C322=$M$7),D324*E324*G324,IF(C322=$M$8,D324*E324*F324*G324,G324))))</f>
        <v>2.1</v>
      </c>
      <c r="I324" s="121" t="s">
        <v>471</v>
      </c>
    </row>
    <row r="325" spans="1:9" x14ac:dyDescent="0.25">
      <c r="A325" s="628"/>
      <c r="B325" s="631"/>
      <c r="C325" s="606"/>
      <c r="D325" s="140">
        <v>0.95</v>
      </c>
      <c r="E325" s="141">
        <v>2</v>
      </c>
      <c r="F325" s="141"/>
      <c r="G325" s="142">
        <v>1</v>
      </c>
      <c r="H325" s="141">
        <f>IF(C322=$M$5,G325,IF(C322=$M$6,D325*G325,IF((C322=$M$7),D325*E325*G325,IF(C322=$M$8,D325*E325*F325*G325,G325))))</f>
        <v>1.9</v>
      </c>
      <c r="I325" s="121" t="s">
        <v>472</v>
      </c>
    </row>
    <row r="326" spans="1:9" x14ac:dyDescent="0.25">
      <c r="A326" s="628"/>
      <c r="B326" s="631"/>
      <c r="C326" s="606"/>
      <c r="D326" s="140">
        <v>1.05</v>
      </c>
      <c r="E326" s="141">
        <v>2</v>
      </c>
      <c r="F326" s="141"/>
      <c r="G326" s="142">
        <v>3</v>
      </c>
      <c r="H326" s="141">
        <f>IF(C322=$M$5,G326,IF(C322=$M$6,D326*G326,IF((C322=$M$7),D326*E326*G326,IF(C322=$M$8,D326*E326*F326*G326,G326))))</f>
        <v>6.3000000000000007</v>
      </c>
      <c r="I326" s="121" t="s">
        <v>876</v>
      </c>
    </row>
    <row r="327" spans="1:9" ht="25.5" x14ac:dyDescent="0.25">
      <c r="A327" s="628"/>
      <c r="B327" s="631"/>
      <c r="C327" s="606"/>
      <c r="D327" s="140">
        <v>0.85</v>
      </c>
      <c r="E327" s="141">
        <v>2</v>
      </c>
      <c r="F327" s="141"/>
      <c r="G327" s="142">
        <v>3</v>
      </c>
      <c r="H327" s="141">
        <f>IF(C322=$M$5,G327,IF(C322=$M$6,D327*G327,IF((C322=$M$7),D327*E327*G327,IF(C322=$M$8,D327*E327*F327*G327,G327))))</f>
        <v>5.0999999999999996</v>
      </c>
      <c r="I327" s="121" t="s">
        <v>875</v>
      </c>
    </row>
    <row r="328" spans="1:9" ht="15.75" thickBot="1" x14ac:dyDescent="0.3">
      <c r="A328" s="643"/>
      <c r="B328" s="644"/>
      <c r="C328" s="607"/>
      <c r="D328" s="633"/>
      <c r="E328" s="634"/>
      <c r="F328" s="634"/>
      <c r="G328" s="635"/>
      <c r="H328" s="143">
        <f>SUM(H320:H327)</f>
        <v>20.399999999999999</v>
      </c>
      <c r="I328" s="129" t="s">
        <v>461</v>
      </c>
    </row>
    <row r="329" spans="1:9" ht="15.75" thickBot="1" x14ac:dyDescent="0.3">
      <c r="A329" s="106">
        <v>13</v>
      </c>
      <c r="B329" s="625" t="s">
        <v>520</v>
      </c>
      <c r="C329" s="625"/>
      <c r="D329" s="625"/>
      <c r="E329" s="625"/>
      <c r="F329" s="625"/>
      <c r="G329" s="625"/>
      <c r="H329" s="625"/>
      <c r="I329" s="626"/>
    </row>
    <row r="330" spans="1:9" ht="39" customHeight="1" x14ac:dyDescent="0.25">
      <c r="A330" s="627">
        <v>13.1</v>
      </c>
      <c r="B330" s="630" t="s">
        <v>221</v>
      </c>
      <c r="C330" s="615" t="s">
        <v>75</v>
      </c>
      <c r="D330" s="136">
        <v>26.57</v>
      </c>
      <c r="E330" s="137">
        <f>(1.64+3.24)/2</f>
        <v>2.44</v>
      </c>
      <c r="F330" s="137"/>
      <c r="G330" s="138">
        <v>1</v>
      </c>
      <c r="H330" s="137">
        <f>IF(C330=$M$5,G330,IF(C330=$M$6,D330*G330,IF((C330=$M$7),D330*E330*G330,IF(C330=$M$8,D330*E330*F330*G330,G330))))</f>
        <v>64.830799999999996</v>
      </c>
      <c r="I330" s="128" t="s">
        <v>469</v>
      </c>
    </row>
    <row r="331" spans="1:9" x14ac:dyDescent="0.25">
      <c r="A331" s="628"/>
      <c r="B331" s="631"/>
      <c r="C331" s="606"/>
      <c r="D331" s="140">
        <v>26.01</v>
      </c>
      <c r="E331" s="141">
        <f>(1.64+3.24)/2</f>
        <v>2.44</v>
      </c>
      <c r="F331" s="141"/>
      <c r="G331" s="142">
        <v>1</v>
      </c>
      <c r="H331" s="141">
        <f>IF(C330=$M$5,G331,IF(C330=$M$6,D331*G331,IF((C330=$M$7),D331*E331*G331,IF(C330=$M$8,D331*E331*F331*G331,G331))))</f>
        <v>63.464400000000005</v>
      </c>
      <c r="I331" s="121" t="s">
        <v>471</v>
      </c>
    </row>
    <row r="332" spans="1:9" x14ac:dyDescent="0.25">
      <c r="A332" s="628"/>
      <c r="B332" s="631"/>
      <c r="C332" s="606"/>
      <c r="D332" s="140">
        <v>7.6</v>
      </c>
      <c r="E332" s="141">
        <v>2</v>
      </c>
      <c r="F332" s="141"/>
      <c r="G332" s="142">
        <v>1</v>
      </c>
      <c r="H332" s="141">
        <f>IF(C330=$M$5,G332,IF(C330=$M$6,D332*G332,IF((C330=$M$7),D332*E332*G332,IF(C330=$M$8,D332*E332*F332*G332,G332))))</f>
        <v>15.2</v>
      </c>
      <c r="I332" s="121" t="s">
        <v>474</v>
      </c>
    </row>
    <row r="333" spans="1:9" x14ac:dyDescent="0.25">
      <c r="A333" s="629"/>
      <c r="B333" s="632"/>
      <c r="C333" s="636"/>
      <c r="D333" s="633"/>
      <c r="E333" s="634"/>
      <c r="F333" s="634"/>
      <c r="G333" s="635"/>
      <c r="H333" s="143">
        <f>H330+H332+H331</f>
        <v>143.49520000000001</v>
      </c>
      <c r="I333" s="129" t="s">
        <v>461</v>
      </c>
    </row>
    <row r="334" spans="1:9" x14ac:dyDescent="0.25">
      <c r="A334" s="639">
        <v>13.2</v>
      </c>
      <c r="B334" s="640" t="s">
        <v>225</v>
      </c>
      <c r="C334" s="605" t="s">
        <v>75</v>
      </c>
      <c r="D334" s="140">
        <v>14.3</v>
      </c>
      <c r="E334" s="141">
        <v>2</v>
      </c>
      <c r="F334" s="141"/>
      <c r="G334" s="142">
        <v>1</v>
      </c>
      <c r="H334" s="141">
        <f>IF(C334=$M$5,G334,IF(C334=$M$6,D334*G334,IF((C334=$M$7),D334*E334*G334,IF(C334=$M$8,D334*E334*F334*G334,G334))))</f>
        <v>28.6</v>
      </c>
      <c r="I334" s="121" t="s">
        <v>521</v>
      </c>
    </row>
    <row r="335" spans="1:9" x14ac:dyDescent="0.25">
      <c r="A335" s="628"/>
      <c r="B335" s="631"/>
      <c r="C335" s="606"/>
      <c r="D335" s="140">
        <v>23.8</v>
      </c>
      <c r="E335" s="141">
        <v>2</v>
      </c>
      <c r="F335" s="141"/>
      <c r="G335" s="142">
        <v>1</v>
      </c>
      <c r="H335" s="141">
        <f>IF(C334=$M$5,G335,IF(C334=$M$6,D335*G335,IF((C334=$M$7),D335*E335*G335,IF(C334=$M$8,D335*E335*F335*G335,G335))))</f>
        <v>47.6</v>
      </c>
      <c r="I335" s="121" t="s">
        <v>522</v>
      </c>
    </row>
    <row r="336" spans="1:9" ht="15.75" thickBot="1" x14ac:dyDescent="0.3">
      <c r="A336" s="643"/>
      <c r="B336" s="644"/>
      <c r="C336" s="607"/>
      <c r="D336" s="633"/>
      <c r="E336" s="634"/>
      <c r="F336" s="634"/>
      <c r="G336" s="635"/>
      <c r="H336" s="147">
        <f>+H334+H335</f>
        <v>76.2</v>
      </c>
      <c r="I336" s="129" t="s">
        <v>461</v>
      </c>
    </row>
    <row r="337" spans="1:9" ht="15.75" thickBot="1" x14ac:dyDescent="0.3">
      <c r="A337" s="122">
        <v>14</v>
      </c>
      <c r="B337" s="641" t="s">
        <v>523</v>
      </c>
      <c r="C337" s="641"/>
      <c r="D337" s="641"/>
      <c r="E337" s="641"/>
      <c r="F337" s="641"/>
      <c r="G337" s="641"/>
      <c r="H337" s="641"/>
      <c r="I337" s="642"/>
    </row>
    <row r="338" spans="1:9" ht="25.5" customHeight="1" x14ac:dyDescent="0.25">
      <c r="A338" s="628">
        <v>14.1</v>
      </c>
      <c r="B338" s="631" t="s">
        <v>524</v>
      </c>
      <c r="C338" s="606" t="s">
        <v>75</v>
      </c>
      <c r="D338" s="148">
        <v>1.35</v>
      </c>
      <c r="E338" s="149">
        <v>1.8</v>
      </c>
      <c r="F338" s="149">
        <v>0.05</v>
      </c>
      <c r="G338" s="150">
        <v>2</v>
      </c>
      <c r="H338" s="149">
        <f>IF(C338=$M$5,G338,IF(C338=$M$6,D338*G338,IF((C338=$M$7),D338*E338*G338,IF(C338=$M$8,D338*E338*F338*G338,G338))))</f>
        <v>4.8600000000000003</v>
      </c>
      <c r="I338" s="123" t="s">
        <v>525</v>
      </c>
    </row>
    <row r="339" spans="1:9" ht="25.5" customHeight="1" x14ac:dyDescent="0.25">
      <c r="A339" s="628"/>
      <c r="B339" s="631"/>
      <c r="C339" s="606"/>
      <c r="D339" s="140">
        <f>1.65+0.7</f>
        <v>2.3499999999999996</v>
      </c>
      <c r="E339" s="141">
        <v>1.8</v>
      </c>
      <c r="F339" s="141">
        <v>0.05</v>
      </c>
      <c r="G339" s="142">
        <v>4</v>
      </c>
      <c r="H339" s="141">
        <f>IF(C338=$M$5,G339,IF(C338=$M$6,D339*G339,IF((C338=$M$7),D339*E339*G339,IF(C338=$M$8,D339*E339*F339*G339,G339))))</f>
        <v>16.919999999999998</v>
      </c>
      <c r="I339" s="121" t="s">
        <v>525</v>
      </c>
    </row>
    <row r="340" spans="1:9" ht="25.5" customHeight="1" x14ac:dyDescent="0.25">
      <c r="A340" s="628"/>
      <c r="B340" s="631"/>
      <c r="C340" s="606"/>
      <c r="D340" s="140">
        <f>1.38+0.97</f>
        <v>2.3499999999999996</v>
      </c>
      <c r="E340" s="141">
        <v>1.8</v>
      </c>
      <c r="F340" s="141">
        <v>0.05</v>
      </c>
      <c r="G340" s="142">
        <v>2</v>
      </c>
      <c r="H340" s="141">
        <f>IF(C338=$M$5,G340,IF(C338=$M$6,D340*G340,IF((C338=$M$7),D340*E340*G340,IF(C338=$M$8,D340*E340*F340*G340,G340))))</f>
        <v>8.4599999999999991</v>
      </c>
      <c r="I340" s="121" t="s">
        <v>526</v>
      </c>
    </row>
    <row r="341" spans="1:9" ht="25.5" customHeight="1" x14ac:dyDescent="0.25">
      <c r="A341" s="628"/>
      <c r="B341" s="631"/>
      <c r="C341" s="606"/>
      <c r="D341" s="140">
        <f>1.83+0.97</f>
        <v>2.8</v>
      </c>
      <c r="E341" s="141">
        <v>1.8</v>
      </c>
      <c r="F341" s="141">
        <v>0.05</v>
      </c>
      <c r="G341" s="142">
        <v>2</v>
      </c>
      <c r="H341" s="141">
        <f>IF(C338=$M$5,G341,IF(C338=$M$6,D341*G341,IF((C338=$M$7),D341*E341*G341,IF(C338=$M$8,D341*E341*F341*G341,G341))))</f>
        <v>10.08</v>
      </c>
      <c r="I341" s="121" t="s">
        <v>527</v>
      </c>
    </row>
    <row r="342" spans="1:9" ht="25.5" customHeight="1" x14ac:dyDescent="0.25">
      <c r="A342" s="629"/>
      <c r="B342" s="632"/>
      <c r="C342" s="636"/>
      <c r="D342" s="633"/>
      <c r="E342" s="634"/>
      <c r="F342" s="634"/>
      <c r="G342" s="635"/>
      <c r="H342" s="143">
        <f>SUM(H338:H341)</f>
        <v>40.319999999999993</v>
      </c>
      <c r="I342" s="129" t="s">
        <v>461</v>
      </c>
    </row>
    <row r="343" spans="1:9" ht="63.75" x14ac:dyDescent="0.25">
      <c r="A343" s="112">
        <v>14.2</v>
      </c>
      <c r="B343" s="107" t="s">
        <v>528</v>
      </c>
      <c r="C343" s="108" t="s">
        <v>75</v>
      </c>
      <c r="D343" s="140">
        <v>0.46</v>
      </c>
      <c r="E343" s="141">
        <v>0.96</v>
      </c>
      <c r="F343" s="141">
        <v>0.05</v>
      </c>
      <c r="G343" s="142">
        <v>3</v>
      </c>
      <c r="H343" s="143">
        <f>IF(C343=$M$5,G343,IF(C343=$M$6,D343*G343,IF((C343=$M$7),D343*E343*G343,IF(C343=$M$8,D343*E343*F343*G343,G343))))</f>
        <v>1.3248</v>
      </c>
      <c r="I343" s="121" t="s">
        <v>529</v>
      </c>
    </row>
    <row r="344" spans="1:9" ht="25.5" customHeight="1" x14ac:dyDescent="0.25">
      <c r="A344" s="639">
        <v>14.3</v>
      </c>
      <c r="B344" s="640" t="s">
        <v>54</v>
      </c>
      <c r="C344" s="605" t="s">
        <v>2</v>
      </c>
      <c r="D344" s="140">
        <v>1</v>
      </c>
      <c r="E344" s="141"/>
      <c r="F344" s="141"/>
      <c r="G344" s="142">
        <v>1</v>
      </c>
      <c r="H344" s="141">
        <f>IF(C344=$M$5,G344,IF(C344=$M$6,D344*G344,IF((C344=$M$7),D344*E344*G344,IF(C344=$M$8,D344*E344*F344*G344,G344))))</f>
        <v>1</v>
      </c>
      <c r="I344" s="121" t="s">
        <v>479</v>
      </c>
    </row>
    <row r="345" spans="1:9" ht="25.5" customHeight="1" x14ac:dyDescent="0.25">
      <c r="A345" s="628"/>
      <c r="B345" s="631"/>
      <c r="C345" s="606"/>
      <c r="D345" s="140">
        <v>1</v>
      </c>
      <c r="E345" s="141"/>
      <c r="F345" s="141"/>
      <c r="G345" s="142">
        <v>1</v>
      </c>
      <c r="H345" s="141">
        <f>IF(C344=$M$5,G345,IF(C344=$M$6,D345*G345,IF((C344=$M$7),D345*E345*G345,IF(C344=$M$8,D345*E345*F345*G345,G345))))</f>
        <v>1</v>
      </c>
      <c r="I345" s="121" t="s">
        <v>480</v>
      </c>
    </row>
    <row r="346" spans="1:9" ht="25.5" customHeight="1" x14ac:dyDescent="0.25">
      <c r="A346" s="629"/>
      <c r="B346" s="632"/>
      <c r="C346" s="636"/>
      <c r="D346" s="633"/>
      <c r="E346" s="634"/>
      <c r="F346" s="634"/>
      <c r="G346" s="635"/>
      <c r="H346" s="143">
        <f>H344+H345</f>
        <v>2</v>
      </c>
      <c r="I346" s="129" t="s">
        <v>461</v>
      </c>
    </row>
    <row r="347" spans="1:9" ht="25.5" x14ac:dyDescent="0.25">
      <c r="A347" s="112">
        <v>14.4</v>
      </c>
      <c r="B347" s="107" t="s">
        <v>64</v>
      </c>
      <c r="C347" s="108" t="s">
        <v>80</v>
      </c>
      <c r="D347" s="140">
        <v>70.55</v>
      </c>
      <c r="E347" s="141">
        <v>2.5</v>
      </c>
      <c r="F347" s="141"/>
      <c r="G347" s="142">
        <v>1</v>
      </c>
      <c r="H347" s="143">
        <f>IF(C347=$M$5,G347,IF(C347=$M$6,D347*G347,IF((C347=$M$7),D347*E347*G347,IF(C347=$M$8,D347*E347*F347*G347,G347))))</f>
        <v>70.55</v>
      </c>
      <c r="I347" s="121" t="s">
        <v>530</v>
      </c>
    </row>
    <row r="348" spans="1:9" ht="25.5" customHeight="1" x14ac:dyDescent="0.25">
      <c r="A348" s="639">
        <v>14.5</v>
      </c>
      <c r="B348" s="640" t="s">
        <v>531</v>
      </c>
      <c r="C348" s="605" t="s">
        <v>80</v>
      </c>
      <c r="D348" s="140">
        <v>8.8000000000000007</v>
      </c>
      <c r="E348" s="141"/>
      <c r="F348" s="141"/>
      <c r="G348" s="142">
        <v>2</v>
      </c>
      <c r="H348" s="141">
        <f>IF(C348=$M$5,G348,IF(C348=$M$6,D348*G348,IF((C348=$M$7),D348*E348*G348,IF(C348=$M$8,D348*E348*F348*G348,G348))))</f>
        <v>17.600000000000001</v>
      </c>
      <c r="I348" s="121" t="s">
        <v>465</v>
      </c>
    </row>
    <row r="349" spans="1:9" ht="25.5" customHeight="1" x14ac:dyDescent="0.25">
      <c r="A349" s="628"/>
      <c r="B349" s="631"/>
      <c r="C349" s="606"/>
      <c r="D349" s="140">
        <v>9</v>
      </c>
      <c r="E349" s="141"/>
      <c r="F349" s="141"/>
      <c r="G349" s="142">
        <v>2</v>
      </c>
      <c r="H349" s="141">
        <f>+D349*G349</f>
        <v>18</v>
      </c>
      <c r="I349" s="121" t="s">
        <v>930</v>
      </c>
    </row>
    <row r="350" spans="1:9" ht="25.5" customHeight="1" x14ac:dyDescent="0.25">
      <c r="A350" s="628"/>
      <c r="B350" s="631"/>
      <c r="C350" s="606"/>
      <c r="D350" s="140">
        <f>8+2</f>
        <v>10</v>
      </c>
      <c r="E350" s="141"/>
      <c r="F350" s="141"/>
      <c r="G350" s="142">
        <v>1</v>
      </c>
      <c r="H350" s="141">
        <f>+D350*G350</f>
        <v>10</v>
      </c>
      <c r="I350" s="121" t="s">
        <v>931</v>
      </c>
    </row>
    <row r="351" spans="1:9" ht="25.5" customHeight="1" x14ac:dyDescent="0.25">
      <c r="A351" s="628"/>
      <c r="B351" s="631"/>
      <c r="C351" s="606"/>
      <c r="D351" s="140">
        <v>5.6</v>
      </c>
      <c r="E351" s="141"/>
      <c r="F351" s="141"/>
      <c r="G351" s="142">
        <v>3</v>
      </c>
      <c r="H351" s="141">
        <f>IF(C348=$M$5,G351,IF(C348=$M$6,D351*G351,IF((C348=$M$7),D351*E351*G351,IF(C348=$M$8,D351*E351*F351*G351,G351))))</f>
        <v>16.799999999999997</v>
      </c>
      <c r="I351" s="121" t="s">
        <v>465</v>
      </c>
    </row>
    <row r="352" spans="1:9" ht="25.5" customHeight="1" x14ac:dyDescent="0.25">
      <c r="A352" s="628"/>
      <c r="B352" s="631"/>
      <c r="C352" s="606"/>
      <c r="D352" s="140">
        <v>4.55</v>
      </c>
      <c r="E352" s="141"/>
      <c r="F352" s="141"/>
      <c r="G352" s="142">
        <v>2</v>
      </c>
      <c r="H352" s="141">
        <f>IF(C348=$M$5,G352,IF(C348=$M$6,D352*G352,IF((C348=$M$7),D352*E352*G352,IF(C348=$M$8,D352*E352*F352*G352,G352))))</f>
        <v>9.1</v>
      </c>
      <c r="I352" s="121" t="s">
        <v>464</v>
      </c>
    </row>
    <row r="353" spans="1:9" ht="25.5" customHeight="1" x14ac:dyDescent="0.25">
      <c r="A353" s="629"/>
      <c r="B353" s="632"/>
      <c r="C353" s="636"/>
      <c r="D353" s="633"/>
      <c r="E353" s="634"/>
      <c r="F353" s="634"/>
      <c r="G353" s="635"/>
      <c r="H353" s="143">
        <f>H351+H352+H348</f>
        <v>43.5</v>
      </c>
      <c r="I353" s="129" t="s">
        <v>461</v>
      </c>
    </row>
    <row r="354" spans="1:9" x14ac:dyDescent="0.25">
      <c r="A354" s="112">
        <v>14.6</v>
      </c>
      <c r="B354" s="107" t="s">
        <v>532</v>
      </c>
      <c r="C354" s="108" t="s">
        <v>75</v>
      </c>
      <c r="D354" s="140">
        <v>4.3</v>
      </c>
      <c r="E354" s="141">
        <v>3</v>
      </c>
      <c r="F354" s="141"/>
      <c r="G354" s="142">
        <v>2</v>
      </c>
      <c r="H354" s="143">
        <f>IF(C354=$M$5,G354,IF(C354=$M$6,D354*G354,IF((C354=$M$7),D354*E354*G354,IF(C354=$M$8,D354*E354*F354*G354,G354))))</f>
        <v>25.799999999999997</v>
      </c>
      <c r="I354" s="121" t="s">
        <v>491</v>
      </c>
    </row>
    <row r="355" spans="1:9" ht="25.5" x14ac:dyDescent="0.25">
      <c r="A355" s="112">
        <v>14.7</v>
      </c>
      <c r="B355" s="107" t="s">
        <v>533</v>
      </c>
      <c r="C355" s="108" t="s">
        <v>75</v>
      </c>
      <c r="D355" s="140">
        <v>3.2</v>
      </c>
      <c r="E355" s="141">
        <v>3</v>
      </c>
      <c r="F355" s="141"/>
      <c r="G355" s="142">
        <v>1</v>
      </c>
      <c r="H355" s="143">
        <f>IF(C355=$M$5,G355,IF(C355=$M$6,D355*G355,IF((C355=$M$7),D355*E355*G355,IF(C355=$M$8,D355*E355*F355*G355,G355))))</f>
        <v>9.6000000000000014</v>
      </c>
      <c r="I355" s="121" t="s">
        <v>530</v>
      </c>
    </row>
    <row r="356" spans="1:9" ht="38.25" x14ac:dyDescent="0.25">
      <c r="A356" s="112">
        <v>14.8</v>
      </c>
      <c r="B356" s="107" t="s">
        <v>862</v>
      </c>
      <c r="C356" s="108" t="s">
        <v>80</v>
      </c>
      <c r="D356" s="140">
        <v>34</v>
      </c>
      <c r="E356" s="141"/>
      <c r="F356" s="141"/>
      <c r="G356" s="142">
        <v>2</v>
      </c>
      <c r="H356" s="143">
        <f>IF(C356=$M$5,G356,IF(C356=$M$6,D356*G356,IF((C356=$M$7),D356*E356*G356,IF(C356=$M$8,D356*E356*F356*G356,G356))))</f>
        <v>68</v>
      </c>
      <c r="I356" s="121" t="s">
        <v>491</v>
      </c>
    </row>
    <row r="357" spans="1:9" x14ac:dyDescent="0.25">
      <c r="A357" s="639">
        <v>14.9</v>
      </c>
      <c r="B357" s="640" t="s">
        <v>534</v>
      </c>
      <c r="C357" s="605" t="s">
        <v>75</v>
      </c>
      <c r="D357" s="140">
        <v>1.5</v>
      </c>
      <c r="E357" s="141">
        <v>0.6</v>
      </c>
      <c r="F357" s="141"/>
      <c r="G357" s="142">
        <v>3</v>
      </c>
      <c r="H357" s="141">
        <f>IF(C357=$M$5,G357,IF(C357=$M$6,D357*G357,IF((C357=$M$7),D357*E357*G357,IF(C357=$M$8,D357*E357*F357*G357,G357))))</f>
        <v>2.6999999999999997</v>
      </c>
      <c r="I357" s="121" t="s">
        <v>535</v>
      </c>
    </row>
    <row r="358" spans="1:9" x14ac:dyDescent="0.25">
      <c r="A358" s="628"/>
      <c r="B358" s="631"/>
      <c r="C358" s="606"/>
      <c r="D358" s="140">
        <v>1.5</v>
      </c>
      <c r="E358" s="141">
        <v>0.6</v>
      </c>
      <c r="F358" s="141"/>
      <c r="G358" s="142">
        <v>4</v>
      </c>
      <c r="H358" s="141">
        <f>IF(C357=$M$5,G358,IF(C357=$M$6,D358*G358,IF((C357=$M$7),D358*E358*G358,IF(C357=$M$8,D358*E358*F358*G358,G358))))</f>
        <v>3.5999999999999996</v>
      </c>
      <c r="I358" s="121" t="s">
        <v>479</v>
      </c>
    </row>
    <row r="359" spans="1:9" x14ac:dyDescent="0.25">
      <c r="A359" s="628"/>
      <c r="B359" s="631"/>
      <c r="C359" s="606"/>
      <c r="D359" s="140">
        <v>1.5</v>
      </c>
      <c r="E359" s="141">
        <v>0.6</v>
      </c>
      <c r="F359" s="141"/>
      <c r="G359" s="142">
        <v>4</v>
      </c>
      <c r="H359" s="141">
        <f>IF(C357=$M$5,G359,IF(C357=$M$6,D359*G359,IF((C357=$M$7),D359*E359*G359,IF(C357=$M$8,D359*E359*F359*G359,G359))))</f>
        <v>3.5999999999999996</v>
      </c>
      <c r="I359" s="121" t="s">
        <v>480</v>
      </c>
    </row>
    <row r="360" spans="1:9" x14ac:dyDescent="0.25">
      <c r="A360" s="629"/>
      <c r="B360" s="632"/>
      <c r="C360" s="636"/>
      <c r="D360" s="633"/>
      <c r="E360" s="634"/>
      <c r="F360" s="634"/>
      <c r="G360" s="635"/>
      <c r="H360" s="143">
        <f>H358+H359+H357</f>
        <v>9.8999999999999986</v>
      </c>
      <c r="I360" s="129" t="s">
        <v>461</v>
      </c>
    </row>
    <row r="361" spans="1:9" ht="25.5" customHeight="1" x14ac:dyDescent="0.25">
      <c r="A361" s="645">
        <v>14.1</v>
      </c>
      <c r="B361" s="640" t="s">
        <v>536</v>
      </c>
      <c r="C361" s="605" t="s">
        <v>2</v>
      </c>
      <c r="D361" s="140">
        <v>2.7</v>
      </c>
      <c r="E361" s="141"/>
      <c r="F361" s="141"/>
      <c r="G361" s="142">
        <v>1</v>
      </c>
      <c r="H361" s="141">
        <f>IF(C361=$M$5,G361,IF(C361=$M$6,D361*G361,IF((C361=$M$7),D361*E361*G361,IF(C361=$M$8,D361*E361*F361*G361,G361))))</f>
        <v>1</v>
      </c>
      <c r="I361" s="121" t="s">
        <v>479</v>
      </c>
    </row>
    <row r="362" spans="1:9" x14ac:dyDescent="0.25">
      <c r="A362" s="637"/>
      <c r="B362" s="631"/>
      <c r="C362" s="606"/>
      <c r="D362" s="140">
        <v>2.7</v>
      </c>
      <c r="E362" s="141"/>
      <c r="F362" s="141"/>
      <c r="G362" s="142">
        <v>1</v>
      </c>
      <c r="H362" s="141">
        <f>IF(C361=$M$5,G362,IF(C361=$M$6,D362*G362,IF((C361=$M$7),D362*E362*G362,IF(C361=$M$8,D362*E362*F362*G362,G362))))</f>
        <v>1</v>
      </c>
      <c r="I362" s="121" t="s">
        <v>480</v>
      </c>
    </row>
    <row r="363" spans="1:9" ht="15.75" thickBot="1" x14ac:dyDescent="0.3">
      <c r="A363" s="646"/>
      <c r="B363" s="644"/>
      <c r="C363" s="607"/>
      <c r="D363" s="633"/>
      <c r="E363" s="634"/>
      <c r="F363" s="634"/>
      <c r="G363" s="635"/>
      <c r="H363" s="143">
        <f>H361+H362</f>
        <v>2</v>
      </c>
      <c r="I363" s="129" t="s">
        <v>461</v>
      </c>
    </row>
    <row r="364" spans="1:9" x14ac:dyDescent="0.25">
      <c r="A364" s="106">
        <v>15</v>
      </c>
      <c r="B364" s="625" t="s">
        <v>537</v>
      </c>
      <c r="C364" s="625"/>
      <c r="D364" s="625"/>
      <c r="E364" s="625"/>
      <c r="F364" s="625"/>
      <c r="G364" s="625"/>
      <c r="H364" s="625"/>
      <c r="I364" s="626"/>
    </row>
    <row r="365" spans="1:9" ht="26.25" thickBot="1" x14ac:dyDescent="0.3">
      <c r="A365" s="113">
        <v>15.1</v>
      </c>
      <c r="B365" s="114" t="s">
        <v>56</v>
      </c>
      <c r="C365" s="115" t="s">
        <v>75</v>
      </c>
      <c r="D365" s="144">
        <v>729.71</v>
      </c>
      <c r="E365" s="145">
        <v>1</v>
      </c>
      <c r="F365" s="145"/>
      <c r="G365" s="146">
        <v>1</v>
      </c>
      <c r="H365" s="147">
        <f>IF(C365=$M$5,G365,IF(C365=$M$6,D365*G365,IF((C365=$M$7),D365*E365*G365,IF(C365=$M$8,D365*E365*F365*G365,G365))))</f>
        <v>729.71</v>
      </c>
      <c r="I365" s="126" t="s">
        <v>513</v>
      </c>
    </row>
    <row r="366" spans="1:9" ht="15.75" thickBot="1" x14ac:dyDescent="0.3">
      <c r="A366" s="106">
        <v>16</v>
      </c>
      <c r="B366" s="625" t="s">
        <v>538</v>
      </c>
      <c r="C366" s="625"/>
      <c r="D366" s="625"/>
      <c r="E366" s="625"/>
      <c r="F366" s="625"/>
      <c r="G366" s="625"/>
      <c r="H366" s="625"/>
      <c r="I366" s="626"/>
    </row>
    <row r="367" spans="1:9" ht="51" x14ac:dyDescent="0.25">
      <c r="A367" s="109">
        <v>16.100000000000001</v>
      </c>
      <c r="B367" s="110" t="s">
        <v>539</v>
      </c>
      <c r="C367" s="111" t="s">
        <v>2</v>
      </c>
      <c r="D367" s="136"/>
      <c r="E367" s="137"/>
      <c r="F367" s="137"/>
      <c r="G367" s="138">
        <v>2</v>
      </c>
      <c r="H367" s="139">
        <f>IF(C367=$M$5,G367,IF(C367=$M$6,D367*G367,IF((C367=$M$7),D367*E367*G367,IF(C367=$M$8,D367*E367*F367*G367,G367))))</f>
        <v>2</v>
      </c>
      <c r="I367" s="128" t="s">
        <v>513</v>
      </c>
    </row>
    <row r="368" spans="1:9" ht="26.25" thickBot="1" x14ac:dyDescent="0.3">
      <c r="A368" s="113">
        <v>16.2</v>
      </c>
      <c r="B368" s="114" t="s">
        <v>540</v>
      </c>
      <c r="C368" s="115" t="s">
        <v>2</v>
      </c>
      <c r="D368" s="144"/>
      <c r="E368" s="145"/>
      <c r="F368" s="145"/>
      <c r="G368" s="146">
        <v>1</v>
      </c>
      <c r="H368" s="147">
        <f>IF(C368=$M$5,G368,IF(C368=$M$6,D368*G368,IF((C368=$M$7),D368*E368*G368,IF(C368=$M$8,D368*E368*F368*G368,G368))))</f>
        <v>1</v>
      </c>
      <c r="I368" s="126" t="s">
        <v>513</v>
      </c>
    </row>
    <row r="369" spans="1:9" x14ac:dyDescent="0.25">
      <c r="A369" s="106">
        <v>17</v>
      </c>
      <c r="B369" s="625" t="s">
        <v>541</v>
      </c>
      <c r="C369" s="625"/>
      <c r="D369" s="625"/>
      <c r="E369" s="625"/>
      <c r="F369" s="625"/>
      <c r="G369" s="625"/>
      <c r="H369" s="625"/>
      <c r="I369" s="626"/>
    </row>
    <row r="370" spans="1:9" ht="15.75" thickBot="1" x14ac:dyDescent="0.3">
      <c r="A370" s="113">
        <v>17.100000000000001</v>
      </c>
      <c r="B370" s="114" t="s">
        <v>62</v>
      </c>
      <c r="C370" s="115" t="s">
        <v>75</v>
      </c>
      <c r="D370" s="144">
        <v>40</v>
      </c>
      <c r="E370" s="145">
        <v>40</v>
      </c>
      <c r="F370" s="145"/>
      <c r="G370" s="146">
        <v>1</v>
      </c>
      <c r="H370" s="147">
        <f>IF(C370=$M$5,G370,IF(C370=$M$6,D370*G370,IF((C370=$M$7),D370*E370*G370,IF(C370=$M$8,D370*E370*F370*G370,G370))))</f>
        <v>1600</v>
      </c>
      <c r="I370" s="126" t="s">
        <v>458</v>
      </c>
    </row>
  </sheetData>
  <mergeCells count="232">
    <mergeCell ref="D264:G264"/>
    <mergeCell ref="A267:A269"/>
    <mergeCell ref="B267:B269"/>
    <mergeCell ref="C267:C269"/>
    <mergeCell ref="D269:G269"/>
    <mergeCell ref="B215:B218"/>
    <mergeCell ref="C215:C218"/>
    <mergeCell ref="A219:A221"/>
    <mergeCell ref="B219:B221"/>
    <mergeCell ref="A247:A250"/>
    <mergeCell ref="B247:B250"/>
    <mergeCell ref="C247:C250"/>
    <mergeCell ref="D250:G250"/>
    <mergeCell ref="A251:A253"/>
    <mergeCell ref="B251:B253"/>
    <mergeCell ref="C251:C253"/>
    <mergeCell ref="D253:G253"/>
    <mergeCell ref="B246:I246"/>
    <mergeCell ref="A232:A236"/>
    <mergeCell ref="B232:B236"/>
    <mergeCell ref="C232:C236"/>
    <mergeCell ref="D236:G236"/>
    <mergeCell ref="A222:A225"/>
    <mergeCell ref="B222:B225"/>
    <mergeCell ref="B8:I8"/>
    <mergeCell ref="A5:I5"/>
    <mergeCell ref="A6:I6"/>
    <mergeCell ref="B12:I12"/>
    <mergeCell ref="D171:G171"/>
    <mergeCell ref="A61:A84"/>
    <mergeCell ref="B61:B84"/>
    <mergeCell ref="C61:C84"/>
    <mergeCell ref="D84:G84"/>
    <mergeCell ref="A128:A132"/>
    <mergeCell ref="B128:B132"/>
    <mergeCell ref="C128:C132"/>
    <mergeCell ref="D132:G132"/>
    <mergeCell ref="A133:A135"/>
    <mergeCell ref="B133:B135"/>
    <mergeCell ref="C133:C135"/>
    <mergeCell ref="D135:G135"/>
    <mergeCell ref="A136:A142"/>
    <mergeCell ref="B136:B142"/>
    <mergeCell ref="C136:C142"/>
    <mergeCell ref="D142:G142"/>
    <mergeCell ref="A15:A24"/>
    <mergeCell ref="B15:B24"/>
    <mergeCell ref="C15:C24"/>
    <mergeCell ref="D24:G24"/>
    <mergeCell ref="A25:A37"/>
    <mergeCell ref="B25:B37"/>
    <mergeCell ref="C25:C37"/>
    <mergeCell ref="D37:G37"/>
    <mergeCell ref="A38:A60"/>
    <mergeCell ref="B38:B60"/>
    <mergeCell ref="C38:C60"/>
    <mergeCell ref="D60:G60"/>
    <mergeCell ref="B85:I85"/>
    <mergeCell ref="A87:A99"/>
    <mergeCell ref="B87:B99"/>
    <mergeCell ref="C87:C99"/>
    <mergeCell ref="D99:G99"/>
    <mergeCell ref="A100:A104"/>
    <mergeCell ref="B100:B104"/>
    <mergeCell ref="C100:C104"/>
    <mergeCell ref="A105:A127"/>
    <mergeCell ref="B105:B127"/>
    <mergeCell ref="C105:C127"/>
    <mergeCell ref="D127:G127"/>
    <mergeCell ref="D104:G104"/>
    <mergeCell ref="C143:C146"/>
    <mergeCell ref="A153:A155"/>
    <mergeCell ref="B153:B155"/>
    <mergeCell ref="C153:C155"/>
    <mergeCell ref="D155:G155"/>
    <mergeCell ref="A156:A171"/>
    <mergeCell ref="B156:B171"/>
    <mergeCell ref="C156:C171"/>
    <mergeCell ref="B172:I172"/>
    <mergeCell ref="D146:G146"/>
    <mergeCell ref="A147:A149"/>
    <mergeCell ref="B147:B149"/>
    <mergeCell ref="C147:C149"/>
    <mergeCell ref="D149:G149"/>
    <mergeCell ref="A150:A152"/>
    <mergeCell ref="B150:B152"/>
    <mergeCell ref="C150:C152"/>
    <mergeCell ref="D152:G152"/>
    <mergeCell ref="A143:A146"/>
    <mergeCell ref="B143:B146"/>
    <mergeCell ref="A177:A185"/>
    <mergeCell ref="B177:B185"/>
    <mergeCell ref="C177:C185"/>
    <mergeCell ref="D185:G185"/>
    <mergeCell ref="B186:I186"/>
    <mergeCell ref="A187:A192"/>
    <mergeCell ref="B187:B192"/>
    <mergeCell ref="C187:C192"/>
    <mergeCell ref="D192:G192"/>
    <mergeCell ref="A193:A195"/>
    <mergeCell ref="B193:B195"/>
    <mergeCell ref="C193:C195"/>
    <mergeCell ref="D195:G195"/>
    <mergeCell ref="A196:A198"/>
    <mergeCell ref="B196:B198"/>
    <mergeCell ref="C196:C198"/>
    <mergeCell ref="D198:G198"/>
    <mergeCell ref="B199:I199"/>
    <mergeCell ref="D225:G225"/>
    <mergeCell ref="D214:G214"/>
    <mergeCell ref="D218:G218"/>
    <mergeCell ref="D221:G221"/>
    <mergeCell ref="C222:C225"/>
    <mergeCell ref="A207:A214"/>
    <mergeCell ref="B207:B214"/>
    <mergeCell ref="C207:C214"/>
    <mergeCell ref="A215:A218"/>
    <mergeCell ref="B287:I287"/>
    <mergeCell ref="A289:A293"/>
    <mergeCell ref="B289:B293"/>
    <mergeCell ref="C289:C293"/>
    <mergeCell ref="D293:G293"/>
    <mergeCell ref="A254:A256"/>
    <mergeCell ref="B254:B256"/>
    <mergeCell ref="C254:C256"/>
    <mergeCell ref="D256:G256"/>
    <mergeCell ref="A276:A278"/>
    <mergeCell ref="B276:B278"/>
    <mergeCell ref="C276:C278"/>
    <mergeCell ref="D278:G278"/>
    <mergeCell ref="A279:A282"/>
    <mergeCell ref="B279:B282"/>
    <mergeCell ref="C279:C282"/>
    <mergeCell ref="D282:G282"/>
    <mergeCell ref="A258:A260"/>
    <mergeCell ref="B258:B260"/>
    <mergeCell ref="C258:C260"/>
    <mergeCell ref="D260:G260"/>
    <mergeCell ref="A262:A264"/>
    <mergeCell ref="B262:B264"/>
    <mergeCell ref="C262:C264"/>
    <mergeCell ref="A294:A297"/>
    <mergeCell ref="B294:B297"/>
    <mergeCell ref="C294:C297"/>
    <mergeCell ref="D297:G297"/>
    <mergeCell ref="B298:I298"/>
    <mergeCell ref="A300:A302"/>
    <mergeCell ref="B300:B302"/>
    <mergeCell ref="C300:C302"/>
    <mergeCell ref="D302:G302"/>
    <mergeCell ref="B366:I366"/>
    <mergeCell ref="B369:I369"/>
    <mergeCell ref="A243:A245"/>
    <mergeCell ref="B243:B245"/>
    <mergeCell ref="C243:C245"/>
    <mergeCell ref="D245:G245"/>
    <mergeCell ref="A314:A319"/>
    <mergeCell ref="B314:B319"/>
    <mergeCell ref="C314:C319"/>
    <mergeCell ref="D319:G319"/>
    <mergeCell ref="A344:A346"/>
    <mergeCell ref="B344:B346"/>
    <mergeCell ref="C344:C346"/>
    <mergeCell ref="D346:G346"/>
    <mergeCell ref="A348:A353"/>
    <mergeCell ref="B348:B353"/>
    <mergeCell ref="C348:C353"/>
    <mergeCell ref="D353:G353"/>
    <mergeCell ref="A357:A360"/>
    <mergeCell ref="B357:B360"/>
    <mergeCell ref="C357:C360"/>
    <mergeCell ref="D360:G360"/>
    <mergeCell ref="A334:A336"/>
    <mergeCell ref="B334:B336"/>
    <mergeCell ref="B364:I364"/>
    <mergeCell ref="C334:C336"/>
    <mergeCell ref="D336:G336"/>
    <mergeCell ref="B337:I337"/>
    <mergeCell ref="A338:A342"/>
    <mergeCell ref="B338:B342"/>
    <mergeCell ref="C338:C342"/>
    <mergeCell ref="D342:G342"/>
    <mergeCell ref="B321:I321"/>
    <mergeCell ref="A322:A328"/>
    <mergeCell ref="B322:B328"/>
    <mergeCell ref="C322:C328"/>
    <mergeCell ref="D328:G328"/>
    <mergeCell ref="B329:I329"/>
    <mergeCell ref="A330:A333"/>
    <mergeCell ref="B330:B333"/>
    <mergeCell ref="C330:C333"/>
    <mergeCell ref="D333:G333"/>
    <mergeCell ref="A361:A363"/>
    <mergeCell ref="B361:B363"/>
    <mergeCell ref="C361:C363"/>
    <mergeCell ref="D363:G363"/>
    <mergeCell ref="A303:A305"/>
    <mergeCell ref="B303:B305"/>
    <mergeCell ref="C303:C305"/>
    <mergeCell ref="D305:G305"/>
    <mergeCell ref="A307:A309"/>
    <mergeCell ref="B307:B309"/>
    <mergeCell ref="C307:C309"/>
    <mergeCell ref="D309:G309"/>
    <mergeCell ref="A311:A313"/>
    <mergeCell ref="B311:B313"/>
    <mergeCell ref="C311:C313"/>
    <mergeCell ref="D313:G313"/>
    <mergeCell ref="A284:A286"/>
    <mergeCell ref="B284:B286"/>
    <mergeCell ref="C284:C286"/>
    <mergeCell ref="D176:G176"/>
    <mergeCell ref="B173:B176"/>
    <mergeCell ref="A173:A176"/>
    <mergeCell ref="C173:C176"/>
    <mergeCell ref="A2:I2"/>
    <mergeCell ref="A1:I1"/>
    <mergeCell ref="A3:I3"/>
    <mergeCell ref="A4:I4"/>
    <mergeCell ref="B203:I203"/>
    <mergeCell ref="A204:A206"/>
    <mergeCell ref="B204:B206"/>
    <mergeCell ref="D206:G206"/>
    <mergeCell ref="A227:A230"/>
    <mergeCell ref="B227:B230"/>
    <mergeCell ref="C227:C230"/>
    <mergeCell ref="D230:G230"/>
    <mergeCell ref="A237:A240"/>
    <mergeCell ref="B237:B240"/>
    <mergeCell ref="C237:C240"/>
    <mergeCell ref="D240:G240"/>
    <mergeCell ref="C219:C221"/>
  </mergeCells>
  <pageMargins left="0.7" right="0.7" top="0.75" bottom="0.75" header="0.3" footer="0.3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9"/>
  <sheetViews>
    <sheetView topLeftCell="A13" zoomScaleNormal="100" zoomScaleSheetLayoutView="86" workbookViewId="0">
      <selection activeCell="D21" sqref="D21"/>
    </sheetView>
  </sheetViews>
  <sheetFormatPr baseColWidth="10" defaultRowHeight="12.75" x14ac:dyDescent="0.2"/>
  <cols>
    <col min="1" max="1" width="6.42578125" style="8" customWidth="1"/>
    <col min="2" max="2" width="50.140625" style="9" customWidth="1"/>
    <col min="3" max="3" width="7.85546875" style="10" customWidth="1"/>
    <col min="4" max="4" width="10.5703125" style="10" customWidth="1"/>
    <col min="5" max="5" width="13.28515625" style="10" hidden="1" customWidth="1"/>
    <col min="6" max="6" width="15.28515625" style="10" hidden="1" customWidth="1"/>
    <col min="7" max="22" width="3.7109375" style="96" customWidth="1"/>
    <col min="23" max="16384" width="11.42578125" style="96"/>
  </cols>
  <sheetData>
    <row r="1" spans="1:22" ht="13.5" thickBot="1" x14ac:dyDescent="0.25">
      <c r="A1" s="662"/>
      <c r="B1" s="662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2"/>
      <c r="N1" s="662"/>
      <c r="O1" s="662"/>
      <c r="P1" s="662"/>
      <c r="Q1" s="662"/>
      <c r="R1" s="662"/>
      <c r="S1" s="662"/>
      <c r="T1" s="662"/>
      <c r="U1" s="662"/>
      <c r="V1" s="662"/>
    </row>
    <row r="2" spans="1:22" x14ac:dyDescent="0.2">
      <c r="A2" s="663" t="s">
        <v>936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  <c r="Q2" s="664"/>
      <c r="R2" s="664"/>
      <c r="S2" s="664"/>
      <c r="T2" s="664"/>
      <c r="U2" s="664"/>
      <c r="V2" s="665"/>
    </row>
    <row r="3" spans="1:22" x14ac:dyDescent="0.2">
      <c r="A3" s="666" t="s">
        <v>791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8"/>
    </row>
    <row r="4" spans="1:22" x14ac:dyDescent="0.2">
      <c r="A4" s="666" t="s">
        <v>939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8"/>
    </row>
    <row r="5" spans="1:22" ht="13.5" thickBot="1" x14ac:dyDescent="0.25">
      <c r="A5" s="558"/>
      <c r="B5" s="559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559"/>
      <c r="R5" s="559"/>
      <c r="S5" s="559"/>
      <c r="T5" s="559"/>
      <c r="U5" s="559"/>
      <c r="V5" s="661"/>
    </row>
    <row r="6" spans="1:22" ht="27.75" customHeight="1" x14ac:dyDescent="0.2">
      <c r="A6" s="305" t="s">
        <v>0</v>
      </c>
      <c r="B6" s="306" t="s">
        <v>1</v>
      </c>
      <c r="C6" s="307" t="s">
        <v>2</v>
      </c>
      <c r="D6" s="307" t="s">
        <v>3</v>
      </c>
      <c r="E6" s="307" t="s">
        <v>4</v>
      </c>
      <c r="F6" s="308" t="s">
        <v>5</v>
      </c>
      <c r="G6" s="669" t="s">
        <v>783</v>
      </c>
      <c r="H6" s="669"/>
      <c r="I6" s="669"/>
      <c r="J6" s="669"/>
      <c r="K6" s="669" t="s">
        <v>784</v>
      </c>
      <c r="L6" s="669"/>
      <c r="M6" s="669"/>
      <c r="N6" s="669"/>
      <c r="O6" s="669" t="s">
        <v>785</v>
      </c>
      <c r="P6" s="669"/>
      <c r="Q6" s="669"/>
      <c r="R6" s="669"/>
      <c r="S6" s="669" t="s">
        <v>786</v>
      </c>
      <c r="T6" s="669"/>
      <c r="U6" s="669"/>
      <c r="V6" s="670"/>
    </row>
    <row r="7" spans="1:22" x14ac:dyDescent="0.2">
      <c r="A7" s="64">
        <v>1</v>
      </c>
      <c r="B7" s="2" t="s">
        <v>6</v>
      </c>
      <c r="C7" s="3"/>
      <c r="D7" s="3"/>
      <c r="E7" s="3"/>
      <c r="F7" s="252"/>
      <c r="G7" s="671" t="s">
        <v>787</v>
      </c>
      <c r="H7" s="672"/>
      <c r="I7" s="672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2"/>
      <c r="V7" s="673"/>
    </row>
    <row r="8" spans="1:22" ht="38.25" x14ac:dyDescent="0.2">
      <c r="A8" s="66">
        <v>1.1000000000000001</v>
      </c>
      <c r="B8" s="4" t="s">
        <v>457</v>
      </c>
      <c r="C8" s="5" t="s">
        <v>34</v>
      </c>
      <c r="D8" s="5">
        <f>+CANTIDADES!H9</f>
        <v>160</v>
      </c>
      <c r="E8" s="12" t="e">
        <f>+'APU FORMATO'!#REF!</f>
        <v>#REF!</v>
      </c>
      <c r="F8" s="245" t="e">
        <f t="shared" ref="F8:F9" si="0">E8*D8</f>
        <v>#REF!</v>
      </c>
      <c r="G8" s="249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310"/>
    </row>
    <row r="9" spans="1:22" ht="38.25" x14ac:dyDescent="0.2">
      <c r="A9" s="67">
        <v>1.2</v>
      </c>
      <c r="B9" s="97" t="s">
        <v>459</v>
      </c>
      <c r="C9" s="98" t="s">
        <v>34</v>
      </c>
      <c r="D9" s="98">
        <f>+CANTIDADES!H10</f>
        <v>1600</v>
      </c>
      <c r="E9" s="13">
        <f>+'APU FORMATO'!F23</f>
        <v>1866.1226854166671</v>
      </c>
      <c r="F9" s="245">
        <f t="shared" si="0"/>
        <v>2985796.2966666673</v>
      </c>
      <c r="G9" s="249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310"/>
    </row>
    <row r="10" spans="1:22" x14ac:dyDescent="0.2">
      <c r="A10" s="67">
        <v>1.3</v>
      </c>
      <c r="B10" s="97" t="s">
        <v>7</v>
      </c>
      <c r="C10" s="98" t="s">
        <v>34</v>
      </c>
      <c r="D10" s="98">
        <f>+CANTIDADES!H11</f>
        <v>1600</v>
      </c>
      <c r="E10" s="13">
        <f>+'APU FORMATO'!F45</f>
        <v>11823.373695</v>
      </c>
      <c r="F10" s="245">
        <f>E10*D10</f>
        <v>18917397.912</v>
      </c>
      <c r="G10" s="250"/>
      <c r="H10" s="249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310"/>
    </row>
    <row r="11" spans="1:22" x14ac:dyDescent="0.2">
      <c r="A11" s="68">
        <v>2</v>
      </c>
      <c r="B11" s="6" t="s">
        <v>45</v>
      </c>
      <c r="C11" s="7"/>
      <c r="D11" s="7"/>
      <c r="E11" s="7"/>
      <c r="F11" s="246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310"/>
    </row>
    <row r="12" spans="1:22" x14ac:dyDescent="0.2">
      <c r="A12" s="60">
        <v>2.1</v>
      </c>
      <c r="B12" s="97" t="s">
        <v>8</v>
      </c>
      <c r="C12" s="98" t="s">
        <v>42</v>
      </c>
      <c r="D12" s="98">
        <f>+CANTIDADES!H13</f>
        <v>360</v>
      </c>
      <c r="E12" s="13">
        <f>+'APU FORMATO'!F67</f>
        <v>10091.578983333333</v>
      </c>
      <c r="F12" s="245">
        <f t="shared" ref="F12:F16" si="1">E12*D12</f>
        <v>3632968.4339999999</v>
      </c>
      <c r="G12" s="250"/>
      <c r="H12" s="249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310"/>
    </row>
    <row r="13" spans="1:22" x14ac:dyDescent="0.2">
      <c r="A13" s="60">
        <v>2.2000000000000002</v>
      </c>
      <c r="B13" s="97" t="s">
        <v>9</v>
      </c>
      <c r="C13" s="98" t="s">
        <v>42</v>
      </c>
      <c r="D13" s="98">
        <f>+CANTIDADES!H14</f>
        <v>225</v>
      </c>
      <c r="E13" s="13">
        <f>+'APU FORMATO'!F89</f>
        <v>53770.919812499997</v>
      </c>
      <c r="F13" s="245">
        <f t="shared" si="1"/>
        <v>12098456.957812499</v>
      </c>
      <c r="G13" s="250"/>
      <c r="H13" s="250"/>
      <c r="I13" s="249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310"/>
    </row>
    <row r="14" spans="1:22" x14ac:dyDescent="0.2">
      <c r="A14" s="60">
        <v>2.2999999999999998</v>
      </c>
      <c r="B14" s="97" t="s">
        <v>312</v>
      </c>
      <c r="C14" s="98" t="s">
        <v>42</v>
      </c>
      <c r="D14" s="161">
        <f>+CANTIDADES!H24</f>
        <v>144.89320000000001</v>
      </c>
      <c r="E14" s="13">
        <f>+'APU FORMATO'!F111</f>
        <v>28802.1711875</v>
      </c>
      <c r="F14" s="245">
        <f t="shared" si="1"/>
        <v>4173238.7503046752</v>
      </c>
      <c r="G14" s="250"/>
      <c r="H14" s="250"/>
      <c r="I14" s="250"/>
      <c r="J14" s="249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310"/>
    </row>
    <row r="15" spans="1:22" x14ac:dyDescent="0.2">
      <c r="A15" s="60">
        <v>2.4</v>
      </c>
      <c r="B15" s="97" t="s">
        <v>10</v>
      </c>
      <c r="C15" s="98" t="s">
        <v>42</v>
      </c>
      <c r="D15" s="161">
        <f>+CANTIDADES!H37</f>
        <v>75.655999999999977</v>
      </c>
      <c r="E15" s="13">
        <f>+'APU FORMATO'!F133</f>
        <v>66450.685433333332</v>
      </c>
      <c r="F15" s="245">
        <f t="shared" si="1"/>
        <v>5027393.0571442647</v>
      </c>
      <c r="G15" s="250"/>
      <c r="H15" s="250"/>
      <c r="I15" s="250"/>
      <c r="J15" s="249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310"/>
    </row>
    <row r="16" spans="1:22" x14ac:dyDescent="0.2">
      <c r="A16" s="60">
        <v>2.5</v>
      </c>
      <c r="B16" s="97" t="s">
        <v>11</v>
      </c>
      <c r="C16" s="98" t="s">
        <v>42</v>
      </c>
      <c r="D16" s="161">
        <f>+CANTIDADES!H60</f>
        <v>40.683300000000003</v>
      </c>
      <c r="E16" s="13">
        <f>+'APU FORMATO'!F155</f>
        <v>66450.685433333332</v>
      </c>
      <c r="F16" s="245">
        <f t="shared" si="1"/>
        <v>2703433.1706899302</v>
      </c>
      <c r="G16" s="250"/>
      <c r="H16" s="250"/>
      <c r="I16" s="250"/>
      <c r="J16" s="249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310"/>
    </row>
    <row r="17" spans="1:22" ht="25.5" x14ac:dyDescent="0.2">
      <c r="A17" s="60">
        <v>2.6</v>
      </c>
      <c r="B17" s="97" t="s">
        <v>12</v>
      </c>
      <c r="C17" s="98" t="s">
        <v>42</v>
      </c>
      <c r="D17" s="161">
        <f>+CANTIDADES!H84</f>
        <v>325.73472999999996</v>
      </c>
      <c r="E17" s="13">
        <f>+'APU FORMATO'!F177</f>
        <v>36803.68475</v>
      </c>
      <c r="F17" s="245">
        <f>E17*D17</f>
        <v>11988238.315046366</v>
      </c>
      <c r="G17" s="250"/>
      <c r="H17" s="250"/>
      <c r="I17" s="250"/>
      <c r="J17" s="249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310"/>
    </row>
    <row r="18" spans="1:22" x14ac:dyDescent="0.2">
      <c r="A18" s="70">
        <v>3</v>
      </c>
      <c r="B18" s="6" t="s">
        <v>13</v>
      </c>
      <c r="C18" s="7"/>
      <c r="D18" s="7"/>
      <c r="E18" s="7"/>
      <c r="F18" s="246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310"/>
    </row>
    <row r="19" spans="1:22" x14ac:dyDescent="0.2">
      <c r="A19" s="60">
        <v>3.1</v>
      </c>
      <c r="B19" s="97" t="s">
        <v>14</v>
      </c>
      <c r="C19" s="98" t="s">
        <v>34</v>
      </c>
      <c r="D19" s="161">
        <f>+CANTIDADES!H26</f>
        <v>14.160999999999998</v>
      </c>
      <c r="E19" s="13">
        <f>+'APU FORMATO'!F199</f>
        <v>23044.876450000003</v>
      </c>
      <c r="F19" s="245">
        <f t="shared" ref="F19:F28" si="2">E19*D19</f>
        <v>326338.49540845002</v>
      </c>
      <c r="G19" s="250"/>
      <c r="H19" s="250"/>
      <c r="I19" s="250"/>
      <c r="J19" s="249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310"/>
    </row>
    <row r="20" spans="1:22" x14ac:dyDescent="0.2">
      <c r="A20" s="60">
        <v>3.2</v>
      </c>
      <c r="B20" s="97" t="s">
        <v>166</v>
      </c>
      <c r="C20" s="98" t="s">
        <v>42</v>
      </c>
      <c r="D20" s="161">
        <f>+CANTIDADES!H99</f>
        <v>34.471999999999994</v>
      </c>
      <c r="E20" s="13">
        <f>+'APU FORMATO'!F221</f>
        <v>592106.3857175</v>
      </c>
      <c r="F20" s="245">
        <f t="shared" si="2"/>
        <v>20411091.328453656</v>
      </c>
      <c r="G20" s="250"/>
      <c r="H20" s="250"/>
      <c r="I20" s="250"/>
      <c r="J20" s="250"/>
      <c r="K20" s="249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310"/>
    </row>
    <row r="21" spans="1:22" x14ac:dyDescent="0.2">
      <c r="A21" s="60">
        <v>3.3</v>
      </c>
      <c r="B21" s="97" t="s">
        <v>561</v>
      </c>
      <c r="C21" s="98" t="s">
        <v>42</v>
      </c>
      <c r="D21" s="161">
        <f>+CANTIDADES!H104</f>
        <v>13.368191999999999</v>
      </c>
      <c r="E21" s="13">
        <f>+'APU FORMATO'!F243</f>
        <v>613438.68996875</v>
      </c>
      <c r="F21" s="245">
        <f t="shared" si="2"/>
        <v>8200566.1877307231</v>
      </c>
      <c r="G21" s="250"/>
      <c r="H21" s="250"/>
      <c r="I21" s="250"/>
      <c r="J21" s="250"/>
      <c r="K21" s="249"/>
      <c r="L21" s="251"/>
      <c r="M21" s="250"/>
      <c r="N21" s="250"/>
      <c r="O21" s="250"/>
      <c r="P21" s="250"/>
      <c r="Q21" s="250"/>
      <c r="R21" s="250"/>
      <c r="S21" s="250"/>
      <c r="T21" s="250"/>
      <c r="U21" s="250"/>
      <c r="V21" s="310"/>
    </row>
    <row r="22" spans="1:22" x14ac:dyDescent="0.2">
      <c r="A22" s="60">
        <v>3.4</v>
      </c>
      <c r="B22" s="97" t="s">
        <v>167</v>
      </c>
      <c r="C22" s="98" t="s">
        <v>42</v>
      </c>
      <c r="D22" s="161">
        <f>+CANTIDADES!H127</f>
        <v>12.4815</v>
      </c>
      <c r="E22" s="13">
        <f>+'APU FORMATO'!F266</f>
        <v>671236.20735625003</v>
      </c>
      <c r="F22" s="245">
        <f t="shared" si="2"/>
        <v>8378034.7221170347</v>
      </c>
      <c r="G22" s="250"/>
      <c r="H22" s="250"/>
      <c r="I22" s="250"/>
      <c r="J22" s="250"/>
      <c r="K22" s="249"/>
      <c r="L22" s="249"/>
      <c r="M22" s="250"/>
      <c r="N22" s="250"/>
      <c r="O22" s="250"/>
      <c r="P22" s="250"/>
      <c r="Q22" s="250"/>
      <c r="R22" s="250"/>
      <c r="S22" s="250"/>
      <c r="T22" s="250"/>
      <c r="U22" s="250"/>
      <c r="V22" s="310"/>
    </row>
    <row r="23" spans="1:22" x14ac:dyDescent="0.2">
      <c r="A23" s="60">
        <v>3.5</v>
      </c>
      <c r="B23" s="97" t="s">
        <v>560</v>
      </c>
      <c r="C23" s="98" t="s">
        <v>42</v>
      </c>
      <c r="D23" s="161">
        <f>+CANTIDADES!H132</f>
        <v>7.2071659999999991</v>
      </c>
      <c r="E23" s="13">
        <f>+'APU FORMATO'!F288</f>
        <v>719092.27496875008</v>
      </c>
      <c r="F23" s="245">
        <f t="shared" si="2"/>
        <v>5182617.3950174255</v>
      </c>
      <c r="G23" s="250"/>
      <c r="H23" s="250"/>
      <c r="I23" s="250"/>
      <c r="J23" s="250"/>
      <c r="K23" s="250"/>
      <c r="L23" s="250"/>
      <c r="M23" s="249"/>
      <c r="N23" s="250"/>
      <c r="O23" s="250"/>
      <c r="P23" s="250"/>
      <c r="Q23" s="250"/>
      <c r="R23" s="250"/>
      <c r="S23" s="250"/>
      <c r="T23" s="250"/>
      <c r="U23" s="250"/>
      <c r="V23" s="310"/>
    </row>
    <row r="24" spans="1:22" x14ac:dyDescent="0.2">
      <c r="A24" s="60">
        <v>3.6</v>
      </c>
      <c r="B24" s="97" t="s">
        <v>168</v>
      </c>
      <c r="C24" s="98" t="s">
        <v>34</v>
      </c>
      <c r="D24" s="161">
        <f>+CANTIDADES!H135</f>
        <v>49.050000000000004</v>
      </c>
      <c r="E24" s="13">
        <f>+'APU FORMATO'!F312</f>
        <v>122277.50968749999</v>
      </c>
      <c r="F24" s="245">
        <f t="shared" si="2"/>
        <v>5997711.8501718752</v>
      </c>
      <c r="G24" s="250"/>
      <c r="H24" s="250"/>
      <c r="I24" s="250"/>
      <c r="J24" s="250"/>
      <c r="K24" s="250"/>
      <c r="L24" s="249"/>
      <c r="M24" s="249"/>
      <c r="N24" s="250"/>
      <c r="O24" s="250"/>
      <c r="P24" s="250"/>
      <c r="Q24" s="250"/>
      <c r="R24" s="250"/>
      <c r="S24" s="250"/>
      <c r="T24" s="250"/>
      <c r="U24" s="250"/>
      <c r="V24" s="310"/>
    </row>
    <row r="25" spans="1:22" x14ac:dyDescent="0.2">
      <c r="A25" s="60">
        <v>3.7</v>
      </c>
      <c r="B25" s="97" t="s">
        <v>15</v>
      </c>
      <c r="C25" s="98" t="s">
        <v>41</v>
      </c>
      <c r="D25" s="161">
        <f>+CANTIDADES!H142</f>
        <v>7.8</v>
      </c>
      <c r="E25" s="13">
        <f>+'APU FORMATO'!F334</f>
        <v>37171.422325</v>
      </c>
      <c r="F25" s="245">
        <f t="shared" si="2"/>
        <v>289937.09413499996</v>
      </c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310"/>
    </row>
    <row r="26" spans="1:22" x14ac:dyDescent="0.2">
      <c r="A26" s="60">
        <v>3.8</v>
      </c>
      <c r="B26" s="97" t="s">
        <v>562</v>
      </c>
      <c r="C26" s="98" t="s">
        <v>34</v>
      </c>
      <c r="D26" s="161">
        <f>+CANTIDADES!H146</f>
        <v>2.3810000000000002</v>
      </c>
      <c r="E26" s="13">
        <f>+'APU FORMATO'!F357</f>
        <v>567402.89350000001</v>
      </c>
      <c r="F26" s="245">
        <f t="shared" si="2"/>
        <v>1350986.2894235002</v>
      </c>
      <c r="G26" s="250"/>
      <c r="H26" s="250"/>
      <c r="I26" s="250"/>
      <c r="J26" s="250"/>
      <c r="K26" s="250"/>
      <c r="L26" s="250"/>
      <c r="M26" s="250"/>
      <c r="N26" s="249"/>
      <c r="O26" s="250"/>
      <c r="P26" s="250"/>
      <c r="Q26" s="250"/>
      <c r="R26" s="250"/>
      <c r="S26" s="250"/>
      <c r="T26" s="250"/>
      <c r="U26" s="250"/>
      <c r="V26" s="310"/>
    </row>
    <row r="27" spans="1:22" ht="25.5" x14ac:dyDescent="0.2">
      <c r="A27" s="60">
        <v>3.9</v>
      </c>
      <c r="B27" s="97" t="s">
        <v>16</v>
      </c>
      <c r="C27" s="98" t="s">
        <v>34</v>
      </c>
      <c r="D27" s="98">
        <f>+CANTIDADES!H149</f>
        <v>2.8079999999999998</v>
      </c>
      <c r="E27" s="13">
        <f>+'APU FORMATO'!F378</f>
        <v>199915.32250000001</v>
      </c>
      <c r="F27" s="245">
        <f t="shared" si="2"/>
        <v>561362.22557999997</v>
      </c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310"/>
    </row>
    <row r="28" spans="1:22" x14ac:dyDescent="0.2">
      <c r="A28" s="71">
        <v>3.1</v>
      </c>
      <c r="B28" s="97" t="s">
        <v>57</v>
      </c>
      <c r="C28" s="98" t="s">
        <v>42</v>
      </c>
      <c r="D28" s="98">
        <f>+CANTIDADES!H152</f>
        <v>20.54</v>
      </c>
      <c r="E28" s="13">
        <f>+'APU FORMATO'!F399</f>
        <v>627013.58687500004</v>
      </c>
      <c r="F28" s="245">
        <f t="shared" si="2"/>
        <v>12878859.0744125</v>
      </c>
      <c r="G28" s="250"/>
      <c r="H28" s="250"/>
      <c r="I28" s="250"/>
      <c r="J28" s="250"/>
      <c r="K28" s="250"/>
      <c r="L28" s="250"/>
      <c r="M28" s="250"/>
      <c r="N28" s="250"/>
      <c r="O28" s="249"/>
      <c r="P28" s="250"/>
      <c r="Q28" s="250"/>
      <c r="R28" s="250"/>
      <c r="S28" s="250"/>
      <c r="T28" s="250"/>
      <c r="U28" s="250"/>
      <c r="V28" s="310"/>
    </row>
    <row r="29" spans="1:22" x14ac:dyDescent="0.2">
      <c r="A29" s="71">
        <v>3.11</v>
      </c>
      <c r="B29" s="97" t="s">
        <v>382</v>
      </c>
      <c r="C29" s="98" t="s">
        <v>34</v>
      </c>
      <c r="D29" s="98">
        <f>+CANTIDADES!H155</f>
        <v>13.64</v>
      </c>
      <c r="E29" s="13">
        <f>+'APU FORMATO'!F420</f>
        <v>153216.29027500001</v>
      </c>
      <c r="F29" s="245">
        <f>E29*D29</f>
        <v>2089870.1993510001</v>
      </c>
      <c r="G29" s="250"/>
      <c r="H29" s="250"/>
      <c r="I29" s="250"/>
      <c r="J29" s="250"/>
      <c r="K29" s="250"/>
      <c r="L29" s="250"/>
      <c r="M29" s="250"/>
      <c r="N29" s="250"/>
      <c r="O29" s="249"/>
      <c r="P29" s="250"/>
      <c r="Q29" s="250"/>
      <c r="R29" s="250"/>
      <c r="S29" s="250"/>
      <c r="T29" s="250"/>
      <c r="U29" s="250"/>
      <c r="V29" s="310"/>
    </row>
    <row r="30" spans="1:22" x14ac:dyDescent="0.2">
      <c r="A30" s="71">
        <v>3.12</v>
      </c>
      <c r="B30" s="97" t="s">
        <v>556</v>
      </c>
      <c r="C30" s="98" t="s">
        <v>42</v>
      </c>
      <c r="D30" s="161">
        <f>+CANTIDADES!H171</f>
        <v>25.3879175</v>
      </c>
      <c r="E30" s="13">
        <f>+'APU FORMATO'!F442</f>
        <v>622815.19062500005</v>
      </c>
      <c r="F30" s="245">
        <f>+D30*E30</f>
        <v>15811980.677334275</v>
      </c>
      <c r="G30" s="250"/>
      <c r="H30" s="250"/>
      <c r="I30" s="250"/>
      <c r="J30" s="250"/>
      <c r="K30" s="250"/>
      <c r="L30" s="250"/>
      <c r="M30" s="250"/>
      <c r="N30" s="250"/>
      <c r="O30" s="250"/>
      <c r="P30" s="249"/>
      <c r="Q30" s="250"/>
      <c r="R30" s="250"/>
      <c r="S30" s="250"/>
      <c r="T30" s="250"/>
      <c r="U30" s="250"/>
      <c r="V30" s="310"/>
    </row>
    <row r="31" spans="1:22" x14ac:dyDescent="0.2">
      <c r="A31" s="70">
        <v>4</v>
      </c>
      <c r="B31" s="6" t="s">
        <v>17</v>
      </c>
      <c r="C31" s="7"/>
      <c r="D31" s="7"/>
      <c r="E31" s="7"/>
      <c r="F31" s="246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310"/>
    </row>
    <row r="32" spans="1:22" x14ac:dyDescent="0.2">
      <c r="A32" s="60">
        <v>4.0999999999999996</v>
      </c>
      <c r="B32" s="98" t="s">
        <v>172</v>
      </c>
      <c r="C32" s="98" t="s">
        <v>43</v>
      </c>
      <c r="D32" s="98">
        <f>+CANTIDADES!H173</f>
        <v>4176.5600000000004</v>
      </c>
      <c r="E32" s="13">
        <f>+'APU FORMATO'!F467</f>
        <v>3436.197975</v>
      </c>
      <c r="F32" s="245">
        <f>E32*D32</f>
        <v>14351487.014466001</v>
      </c>
      <c r="G32" s="250"/>
      <c r="H32" s="250"/>
      <c r="I32" s="250"/>
      <c r="J32" s="250"/>
      <c r="K32" s="250"/>
      <c r="L32" s="249"/>
      <c r="M32" s="249"/>
      <c r="N32" s="250"/>
      <c r="O32" s="250"/>
      <c r="P32" s="250"/>
      <c r="Q32" s="250"/>
      <c r="R32" s="250"/>
      <c r="S32" s="250"/>
      <c r="T32" s="250"/>
      <c r="U32" s="250"/>
      <c r="V32" s="310"/>
    </row>
    <row r="33" spans="1:22" x14ac:dyDescent="0.2">
      <c r="A33" s="60">
        <v>4.2</v>
      </c>
      <c r="B33" s="97" t="s">
        <v>18</v>
      </c>
      <c r="C33" s="98" t="s">
        <v>43</v>
      </c>
      <c r="D33" s="98">
        <f>+CANTIDADES!H185</f>
        <v>11038.52</v>
      </c>
      <c r="E33" s="13">
        <f>+'APU FORMATO'!F488</f>
        <v>3982.2396250000002</v>
      </c>
      <c r="F33" s="245">
        <f>E33*D33</f>
        <v>43958031.745355003</v>
      </c>
      <c r="G33" s="250"/>
      <c r="H33" s="250"/>
      <c r="I33" s="250"/>
      <c r="J33" s="250"/>
      <c r="K33" s="249"/>
      <c r="L33" s="249"/>
      <c r="M33" s="249"/>
      <c r="N33" s="249"/>
      <c r="O33" s="249"/>
      <c r="P33" s="249"/>
      <c r="Q33" s="250"/>
      <c r="R33" s="250"/>
      <c r="S33" s="250"/>
      <c r="T33" s="250"/>
      <c r="U33" s="250"/>
      <c r="V33" s="310"/>
    </row>
    <row r="34" spans="1:22" x14ac:dyDescent="0.2">
      <c r="A34" s="70">
        <v>5</v>
      </c>
      <c r="B34" s="6" t="s">
        <v>19</v>
      </c>
      <c r="C34" s="7"/>
      <c r="D34" s="7"/>
      <c r="E34" s="7"/>
      <c r="F34" s="246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310"/>
    </row>
    <row r="35" spans="1:22" ht="25.5" x14ac:dyDescent="0.2">
      <c r="A35" s="60">
        <v>5.0999999999999996</v>
      </c>
      <c r="B35" s="97" t="s">
        <v>20</v>
      </c>
      <c r="C35" s="98" t="s">
        <v>34</v>
      </c>
      <c r="D35" s="98">
        <f>+CANTIDADES!H192</f>
        <v>245.71359999999999</v>
      </c>
      <c r="E35" s="13">
        <f>+'APU FORMATO'!F509</f>
        <v>76390.640018232516</v>
      </c>
      <c r="F35" s="245">
        <f>E35*D35</f>
        <v>18770219.165183976</v>
      </c>
      <c r="G35" s="250"/>
      <c r="H35" s="250"/>
      <c r="I35" s="250"/>
      <c r="J35" s="250"/>
      <c r="K35" s="250"/>
      <c r="L35" s="250"/>
      <c r="M35" s="250"/>
      <c r="N35" s="249"/>
      <c r="O35" s="249"/>
      <c r="P35" s="250"/>
      <c r="Q35" s="250"/>
      <c r="R35" s="250"/>
      <c r="S35" s="250"/>
      <c r="T35" s="250"/>
      <c r="U35" s="250"/>
      <c r="V35" s="310"/>
    </row>
    <row r="36" spans="1:22" ht="25.5" x14ac:dyDescent="0.2">
      <c r="A36" s="60">
        <v>5.2</v>
      </c>
      <c r="B36" s="97" t="s">
        <v>21</v>
      </c>
      <c r="C36" s="98" t="s">
        <v>34</v>
      </c>
      <c r="D36" s="98">
        <f>+CANTIDADES!H195</f>
        <v>175.64999999999998</v>
      </c>
      <c r="E36" s="13">
        <f>+'APU FORMATO'!F509</f>
        <v>76390.640018232516</v>
      </c>
      <c r="F36" s="245">
        <f>E36*D36</f>
        <v>13418015.91920254</v>
      </c>
      <c r="G36" s="250"/>
      <c r="H36" s="250"/>
      <c r="I36" s="250"/>
      <c r="J36" s="250"/>
      <c r="K36" s="250"/>
      <c r="L36" s="250"/>
      <c r="M36" s="250"/>
      <c r="N36" s="249"/>
      <c r="O36" s="249"/>
      <c r="P36" s="250"/>
      <c r="Q36" s="250"/>
      <c r="R36" s="250"/>
      <c r="S36" s="250"/>
      <c r="T36" s="250"/>
      <c r="U36" s="250"/>
      <c r="V36" s="310"/>
    </row>
    <row r="37" spans="1:22" ht="25.5" x14ac:dyDescent="0.2">
      <c r="A37" s="60">
        <v>5.3</v>
      </c>
      <c r="B37" s="97" t="s">
        <v>63</v>
      </c>
      <c r="C37" s="98" t="s">
        <v>34</v>
      </c>
      <c r="D37" s="98">
        <f>+CANTIDADES!H198</f>
        <v>34.64</v>
      </c>
      <c r="E37" s="13">
        <f>+'APU FORMATO'!F553</f>
        <v>61578.815020000002</v>
      </c>
      <c r="F37" s="245">
        <f>E37*D37</f>
        <v>2133090.1522928001</v>
      </c>
      <c r="G37" s="250"/>
      <c r="H37" s="250"/>
      <c r="I37" s="250"/>
      <c r="J37" s="250"/>
      <c r="K37" s="250"/>
      <c r="L37" s="250"/>
      <c r="M37" s="250"/>
      <c r="N37" s="250"/>
      <c r="O37" s="249"/>
      <c r="P37" s="249"/>
      <c r="Q37" s="250"/>
      <c r="R37" s="250"/>
      <c r="S37" s="250"/>
      <c r="T37" s="250"/>
      <c r="U37" s="250"/>
      <c r="V37" s="310"/>
    </row>
    <row r="38" spans="1:22" x14ac:dyDescent="0.2">
      <c r="A38" s="70">
        <v>6</v>
      </c>
      <c r="B38" s="6" t="s">
        <v>22</v>
      </c>
      <c r="C38" s="7"/>
      <c r="D38" s="7"/>
      <c r="E38" s="7"/>
      <c r="F38" s="246"/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310"/>
    </row>
    <row r="39" spans="1:22" x14ac:dyDescent="0.2">
      <c r="A39" s="72">
        <v>6.1</v>
      </c>
      <c r="B39" s="99" t="s">
        <v>58</v>
      </c>
      <c r="C39" s="100" t="s">
        <v>43</v>
      </c>
      <c r="D39" s="100">
        <f>+CANTIDADES!H200</f>
        <v>18814.63</v>
      </c>
      <c r="E39" s="13">
        <f>+'APU FORMATO'!F583</f>
        <v>8210.3854489030709</v>
      </c>
      <c r="F39" s="247">
        <f t="shared" ref="F39:F41" si="3">E39*D39</f>
        <v>154475364.37849519</v>
      </c>
      <c r="G39" s="250"/>
      <c r="H39" s="250"/>
      <c r="I39" s="250"/>
      <c r="J39" s="250"/>
      <c r="K39" s="250"/>
      <c r="L39" s="250"/>
      <c r="M39" s="250"/>
      <c r="N39" s="249"/>
      <c r="O39" s="249"/>
      <c r="P39" s="249"/>
      <c r="Q39" s="249"/>
      <c r="R39" s="250"/>
      <c r="S39" s="250"/>
      <c r="T39" s="250"/>
      <c r="U39" s="250"/>
      <c r="V39" s="310"/>
    </row>
    <row r="40" spans="1:22" x14ac:dyDescent="0.2">
      <c r="A40" s="72">
        <v>6.2</v>
      </c>
      <c r="B40" s="99" t="s">
        <v>647</v>
      </c>
      <c r="C40" s="100" t="s">
        <v>34</v>
      </c>
      <c r="D40" s="100">
        <f>+CANTIDADES!H201</f>
        <v>1300.5</v>
      </c>
      <c r="E40" s="56">
        <f>+'APU FORMATO'!F605</f>
        <v>58980.12308936</v>
      </c>
      <c r="F40" s="247">
        <f t="shared" si="3"/>
        <v>76703650.077712685</v>
      </c>
      <c r="G40" s="250"/>
      <c r="H40" s="250"/>
      <c r="I40" s="250"/>
      <c r="J40" s="250"/>
      <c r="K40" s="250"/>
      <c r="L40" s="250"/>
      <c r="M40" s="250"/>
      <c r="N40" s="250"/>
      <c r="O40" s="250"/>
      <c r="P40" s="249"/>
      <c r="Q40" s="249"/>
      <c r="R40" s="249"/>
      <c r="S40" s="250"/>
      <c r="T40" s="250"/>
      <c r="U40" s="250"/>
      <c r="V40" s="310"/>
    </row>
    <row r="41" spans="1:22" x14ac:dyDescent="0.2">
      <c r="A41" s="72">
        <v>6.3</v>
      </c>
      <c r="B41" s="99" t="s">
        <v>550</v>
      </c>
      <c r="C41" s="100" t="s">
        <v>41</v>
      </c>
      <c r="D41" s="100">
        <f>+CANTIDADES!H202</f>
        <v>34</v>
      </c>
      <c r="E41" s="56">
        <f>+'APU FORMATO'!F627</f>
        <v>43285.899799999999</v>
      </c>
      <c r="F41" s="247">
        <f t="shared" si="3"/>
        <v>1471720.5932</v>
      </c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49"/>
      <c r="S41" s="250"/>
      <c r="T41" s="250"/>
      <c r="U41" s="250"/>
      <c r="V41" s="310"/>
    </row>
    <row r="42" spans="1:22" x14ac:dyDescent="0.2">
      <c r="A42" s="70">
        <v>7</v>
      </c>
      <c r="B42" s="6" t="s">
        <v>23</v>
      </c>
      <c r="C42" s="7"/>
      <c r="D42" s="7"/>
      <c r="E42" s="7"/>
      <c r="F42" s="246"/>
      <c r="G42" s="250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310"/>
    </row>
    <row r="43" spans="1:22" ht="25.5" x14ac:dyDescent="0.2">
      <c r="A43" s="72">
        <v>7.1</v>
      </c>
      <c r="B43" s="99" t="s">
        <v>335</v>
      </c>
      <c r="C43" s="100" t="s">
        <v>33</v>
      </c>
      <c r="D43" s="100">
        <v>3</v>
      </c>
      <c r="E43" s="56">
        <v>2264400</v>
      </c>
      <c r="F43" s="247">
        <f>D43*E43</f>
        <v>6793200</v>
      </c>
      <c r="G43" s="250"/>
      <c r="H43" s="250"/>
      <c r="I43" s="250"/>
      <c r="J43" s="250"/>
      <c r="K43" s="250"/>
      <c r="L43" s="249"/>
      <c r="M43" s="250"/>
      <c r="N43" s="250"/>
      <c r="O43" s="250"/>
      <c r="P43" s="250"/>
      <c r="Q43" s="250"/>
      <c r="R43" s="250"/>
      <c r="S43" s="250"/>
      <c r="T43" s="250"/>
      <c r="U43" s="250"/>
      <c r="V43" s="310"/>
    </row>
    <row r="44" spans="1:22" x14ac:dyDescent="0.2">
      <c r="A44" s="72">
        <v>7.2</v>
      </c>
      <c r="B44" s="99" t="s">
        <v>336</v>
      </c>
      <c r="C44" s="100" t="s">
        <v>33</v>
      </c>
      <c r="D44" s="100">
        <v>3</v>
      </c>
      <c r="E44" s="56">
        <v>264616</v>
      </c>
      <c r="F44" s="247">
        <f t="shared" ref="F44:F72" si="4">D44*E44</f>
        <v>793848</v>
      </c>
      <c r="G44" s="250"/>
      <c r="H44" s="250"/>
      <c r="I44" s="250"/>
      <c r="J44" s="250"/>
      <c r="K44" s="250"/>
      <c r="L44" s="250"/>
      <c r="M44" s="249"/>
      <c r="N44" s="250"/>
      <c r="O44" s="250"/>
      <c r="P44" s="250"/>
      <c r="Q44" s="250"/>
      <c r="R44" s="250"/>
      <c r="S44" s="250"/>
      <c r="T44" s="250"/>
      <c r="U44" s="250"/>
      <c r="V44" s="310"/>
    </row>
    <row r="45" spans="1:22" x14ac:dyDescent="0.2">
      <c r="A45" s="72">
        <v>7.3</v>
      </c>
      <c r="B45" s="99" t="s">
        <v>337</v>
      </c>
      <c r="C45" s="100" t="s">
        <v>33</v>
      </c>
      <c r="D45" s="100">
        <v>3</v>
      </c>
      <c r="E45" s="56">
        <v>110080</v>
      </c>
      <c r="F45" s="247">
        <f t="shared" si="4"/>
        <v>330240</v>
      </c>
      <c r="G45" s="250"/>
      <c r="H45" s="250"/>
      <c r="I45" s="250"/>
      <c r="J45" s="250"/>
      <c r="K45" s="250"/>
      <c r="L45" s="249"/>
      <c r="M45" s="250"/>
      <c r="N45" s="250"/>
      <c r="O45" s="250"/>
      <c r="P45" s="250"/>
      <c r="Q45" s="250"/>
      <c r="R45" s="250"/>
      <c r="S45" s="250"/>
      <c r="T45" s="250"/>
      <c r="U45" s="250"/>
      <c r="V45" s="310"/>
    </row>
    <row r="46" spans="1:22" ht="25.5" x14ac:dyDescent="0.2">
      <c r="A46" s="72">
        <v>7.4</v>
      </c>
      <c r="B46" s="99" t="s">
        <v>338</v>
      </c>
      <c r="C46" s="100" t="s">
        <v>33</v>
      </c>
      <c r="D46" s="100">
        <v>2</v>
      </c>
      <c r="E46" s="56">
        <v>618784</v>
      </c>
      <c r="F46" s="247">
        <f t="shared" si="4"/>
        <v>1237568</v>
      </c>
      <c r="G46" s="250"/>
      <c r="H46" s="250"/>
      <c r="I46" s="250"/>
      <c r="J46" s="250"/>
      <c r="K46" s="250"/>
      <c r="L46" s="250"/>
      <c r="M46" s="249"/>
      <c r="N46" s="250"/>
      <c r="O46" s="250"/>
      <c r="P46" s="250"/>
      <c r="Q46" s="250"/>
      <c r="R46" s="250"/>
      <c r="S46" s="250"/>
      <c r="T46" s="250"/>
      <c r="U46" s="250"/>
      <c r="V46" s="310"/>
    </row>
    <row r="47" spans="1:22" ht="25.5" x14ac:dyDescent="0.2">
      <c r="A47" s="72">
        <v>7.5</v>
      </c>
      <c r="B47" s="99" t="s">
        <v>339</v>
      </c>
      <c r="C47" s="100" t="s">
        <v>33</v>
      </c>
      <c r="D47" s="100">
        <v>1</v>
      </c>
      <c r="E47" s="56">
        <v>1203682</v>
      </c>
      <c r="F47" s="247">
        <f t="shared" si="4"/>
        <v>1203682</v>
      </c>
      <c r="G47" s="250"/>
      <c r="H47" s="250"/>
      <c r="I47" s="250"/>
      <c r="J47" s="250"/>
      <c r="K47" s="250"/>
      <c r="L47" s="250"/>
      <c r="M47" s="249"/>
      <c r="N47" s="250"/>
      <c r="O47" s="250"/>
      <c r="P47" s="250"/>
      <c r="Q47" s="250"/>
      <c r="R47" s="250"/>
      <c r="S47" s="250"/>
      <c r="T47" s="250"/>
      <c r="U47" s="250"/>
      <c r="V47" s="310"/>
    </row>
    <row r="48" spans="1:22" ht="25.5" x14ac:dyDescent="0.2">
      <c r="A48" s="72">
        <v>7.6</v>
      </c>
      <c r="B48" s="99" t="s">
        <v>340</v>
      </c>
      <c r="C48" s="100" t="s">
        <v>33</v>
      </c>
      <c r="D48" s="100">
        <v>1</v>
      </c>
      <c r="E48" s="56">
        <v>271292</v>
      </c>
      <c r="F48" s="247">
        <f t="shared" si="4"/>
        <v>271292</v>
      </c>
      <c r="G48" s="250"/>
      <c r="H48" s="250"/>
      <c r="I48" s="250"/>
      <c r="J48" s="250"/>
      <c r="K48" s="250"/>
      <c r="L48" s="250"/>
      <c r="M48" s="249"/>
      <c r="N48" s="250"/>
      <c r="O48" s="250"/>
      <c r="P48" s="250"/>
      <c r="Q48" s="250"/>
      <c r="R48" s="250"/>
      <c r="S48" s="250"/>
      <c r="T48" s="250"/>
      <c r="U48" s="250"/>
      <c r="V48" s="310"/>
    </row>
    <row r="49" spans="1:22" ht="25.5" x14ac:dyDescent="0.2">
      <c r="A49" s="72">
        <v>7.7</v>
      </c>
      <c r="B49" s="99" t="s">
        <v>341</v>
      </c>
      <c r="C49" s="100" t="s">
        <v>41</v>
      </c>
      <c r="D49" s="100">
        <v>110</v>
      </c>
      <c r="E49" s="56">
        <v>12152</v>
      </c>
      <c r="F49" s="247">
        <f t="shared" si="4"/>
        <v>1336720</v>
      </c>
      <c r="G49" s="250"/>
      <c r="H49" s="250"/>
      <c r="I49" s="250"/>
      <c r="J49" s="250"/>
      <c r="K49" s="250"/>
      <c r="L49" s="250"/>
      <c r="M49" s="250"/>
      <c r="N49" s="249"/>
      <c r="O49" s="250"/>
      <c r="P49" s="250"/>
      <c r="Q49" s="250"/>
      <c r="R49" s="250"/>
      <c r="S49" s="250"/>
      <c r="T49" s="250"/>
      <c r="U49" s="250"/>
      <c r="V49" s="310"/>
    </row>
    <row r="50" spans="1:22" ht="38.25" x14ac:dyDescent="0.2">
      <c r="A50" s="72">
        <v>7.8</v>
      </c>
      <c r="B50" s="99" t="s">
        <v>342</v>
      </c>
      <c r="C50" s="100" t="s">
        <v>33</v>
      </c>
      <c r="D50" s="100">
        <v>2</v>
      </c>
      <c r="E50" s="56">
        <v>305155</v>
      </c>
      <c r="F50" s="247">
        <f t="shared" si="4"/>
        <v>610310</v>
      </c>
      <c r="G50" s="250"/>
      <c r="H50" s="250"/>
      <c r="I50" s="250"/>
      <c r="J50" s="250"/>
      <c r="K50" s="250"/>
      <c r="L50" s="250"/>
      <c r="M50" s="250"/>
      <c r="N50" s="249"/>
      <c r="O50" s="250"/>
      <c r="P50" s="250"/>
      <c r="Q50" s="250"/>
      <c r="R50" s="250"/>
      <c r="S50" s="250"/>
      <c r="T50" s="250"/>
      <c r="U50" s="250"/>
      <c r="V50" s="310"/>
    </row>
    <row r="51" spans="1:22" ht="25.5" x14ac:dyDescent="0.2">
      <c r="A51" s="72">
        <v>7.9</v>
      </c>
      <c r="B51" s="99" t="s">
        <v>343</v>
      </c>
      <c r="C51" s="100" t="s">
        <v>33</v>
      </c>
      <c r="D51" s="100">
        <v>2</v>
      </c>
      <c r="E51" s="56">
        <v>175490</v>
      </c>
      <c r="F51" s="247">
        <f t="shared" si="4"/>
        <v>350980</v>
      </c>
      <c r="G51" s="250"/>
      <c r="H51" s="250"/>
      <c r="I51" s="250"/>
      <c r="J51" s="250"/>
      <c r="K51" s="250"/>
      <c r="L51" s="250"/>
      <c r="M51" s="250"/>
      <c r="N51" s="249"/>
      <c r="O51" s="250"/>
      <c r="P51" s="250"/>
      <c r="Q51" s="250"/>
      <c r="R51" s="250"/>
      <c r="S51" s="250"/>
      <c r="T51" s="250"/>
      <c r="U51" s="250"/>
      <c r="V51" s="310"/>
    </row>
    <row r="52" spans="1:22" ht="25.5" x14ac:dyDescent="0.2">
      <c r="A52" s="74">
        <v>7.1</v>
      </c>
      <c r="B52" s="99" t="s">
        <v>344</v>
      </c>
      <c r="C52" s="100" t="s">
        <v>33</v>
      </c>
      <c r="D52" s="100">
        <v>1</v>
      </c>
      <c r="E52" s="56">
        <v>3446800</v>
      </c>
      <c r="F52" s="247">
        <f t="shared" si="4"/>
        <v>3446800</v>
      </c>
      <c r="G52" s="250"/>
      <c r="H52" s="250"/>
      <c r="I52" s="250"/>
      <c r="J52" s="250"/>
      <c r="K52" s="250"/>
      <c r="L52" s="250"/>
      <c r="M52" s="250"/>
      <c r="N52" s="249"/>
      <c r="O52" s="250"/>
      <c r="P52" s="250"/>
      <c r="Q52" s="250"/>
      <c r="R52" s="250"/>
      <c r="S52" s="250"/>
      <c r="T52" s="250"/>
      <c r="U52" s="250"/>
      <c r="V52" s="310"/>
    </row>
    <row r="53" spans="1:22" ht="25.5" x14ac:dyDescent="0.2">
      <c r="A53" s="74">
        <v>7.11</v>
      </c>
      <c r="B53" s="99" t="s">
        <v>345</v>
      </c>
      <c r="C53" s="100" t="s">
        <v>33</v>
      </c>
      <c r="D53" s="100">
        <v>1</v>
      </c>
      <c r="E53" s="56">
        <v>2500000</v>
      </c>
      <c r="F53" s="247">
        <f t="shared" si="4"/>
        <v>2500000</v>
      </c>
      <c r="G53" s="250"/>
      <c r="H53" s="250"/>
      <c r="I53" s="250"/>
      <c r="J53" s="250"/>
      <c r="K53" s="250"/>
      <c r="L53" s="250"/>
      <c r="M53" s="250"/>
      <c r="N53" s="249"/>
      <c r="O53" s="250"/>
      <c r="P53" s="250"/>
      <c r="Q53" s="250"/>
      <c r="R53" s="250"/>
      <c r="S53" s="250"/>
      <c r="T53" s="250"/>
      <c r="U53" s="250"/>
      <c r="V53" s="310"/>
    </row>
    <row r="54" spans="1:22" x14ac:dyDescent="0.2">
      <c r="A54" s="74">
        <v>7.12</v>
      </c>
      <c r="B54" s="99" t="s">
        <v>346</v>
      </c>
      <c r="C54" s="100" t="s">
        <v>41</v>
      </c>
      <c r="D54" s="100">
        <v>1</v>
      </c>
      <c r="E54" s="56">
        <v>129253</v>
      </c>
      <c r="F54" s="248">
        <f t="shared" si="4"/>
        <v>129253</v>
      </c>
      <c r="G54" s="250"/>
      <c r="H54" s="250"/>
      <c r="I54" s="250"/>
      <c r="J54" s="250"/>
      <c r="K54" s="250"/>
      <c r="L54" s="250"/>
      <c r="M54" s="250"/>
      <c r="N54" s="249"/>
      <c r="O54" s="250"/>
      <c r="P54" s="250"/>
      <c r="Q54" s="250"/>
      <c r="R54" s="250"/>
      <c r="S54" s="250"/>
      <c r="T54" s="250"/>
      <c r="U54" s="250"/>
      <c r="V54" s="310"/>
    </row>
    <row r="55" spans="1:22" x14ac:dyDescent="0.2">
      <c r="A55" s="74">
        <v>7.13</v>
      </c>
      <c r="B55" s="99" t="s">
        <v>347</v>
      </c>
      <c r="C55" s="100" t="s">
        <v>33</v>
      </c>
      <c r="D55" s="100">
        <v>1</v>
      </c>
      <c r="E55" s="56">
        <v>1620000</v>
      </c>
      <c r="F55" s="248">
        <f t="shared" si="4"/>
        <v>1620000</v>
      </c>
      <c r="G55" s="250"/>
      <c r="H55" s="250"/>
      <c r="I55" s="250"/>
      <c r="J55" s="250"/>
      <c r="K55" s="250"/>
      <c r="L55" s="250"/>
      <c r="M55" s="250"/>
      <c r="N55" s="249"/>
      <c r="O55" s="250"/>
      <c r="P55" s="250"/>
      <c r="Q55" s="250"/>
      <c r="R55" s="250"/>
      <c r="S55" s="250"/>
      <c r="T55" s="250"/>
      <c r="U55" s="250"/>
      <c r="V55" s="310"/>
    </row>
    <row r="56" spans="1:22" ht="38.25" x14ac:dyDescent="0.2">
      <c r="A56" s="74">
        <v>7.14</v>
      </c>
      <c r="B56" s="99" t="s">
        <v>348</v>
      </c>
      <c r="C56" s="100" t="s">
        <v>41</v>
      </c>
      <c r="D56" s="100">
        <v>35</v>
      </c>
      <c r="E56" s="56">
        <v>84550</v>
      </c>
      <c r="F56" s="248">
        <f t="shared" si="4"/>
        <v>2959250</v>
      </c>
      <c r="G56" s="250"/>
      <c r="H56" s="250"/>
      <c r="I56" s="250"/>
      <c r="J56" s="250"/>
      <c r="K56" s="250"/>
      <c r="L56" s="250"/>
      <c r="M56" s="250"/>
      <c r="N56" s="249"/>
      <c r="O56" s="250"/>
      <c r="P56" s="250"/>
      <c r="Q56" s="250"/>
      <c r="R56" s="250"/>
      <c r="S56" s="250"/>
      <c r="T56" s="250"/>
      <c r="U56" s="250"/>
      <c r="V56" s="310"/>
    </row>
    <row r="57" spans="1:22" ht="25.5" x14ac:dyDescent="0.2">
      <c r="A57" s="74">
        <v>7.15</v>
      </c>
      <c r="B57" s="99" t="s">
        <v>349</v>
      </c>
      <c r="C57" s="100" t="s">
        <v>33</v>
      </c>
      <c r="D57" s="100">
        <v>1</v>
      </c>
      <c r="E57" s="56">
        <v>3200000</v>
      </c>
      <c r="F57" s="248">
        <f t="shared" si="4"/>
        <v>3200000</v>
      </c>
      <c r="G57" s="250"/>
      <c r="H57" s="250"/>
      <c r="I57" s="250"/>
      <c r="J57" s="250"/>
      <c r="K57" s="250"/>
      <c r="L57" s="250"/>
      <c r="M57" s="250"/>
      <c r="N57" s="249"/>
      <c r="O57" s="250"/>
      <c r="P57" s="250"/>
      <c r="Q57" s="250"/>
      <c r="R57" s="250"/>
      <c r="S57" s="250"/>
      <c r="T57" s="250"/>
      <c r="U57" s="250"/>
      <c r="V57" s="310"/>
    </row>
    <row r="58" spans="1:22" ht="38.25" x14ac:dyDescent="0.2">
      <c r="A58" s="74">
        <v>7.16</v>
      </c>
      <c r="B58" s="99" t="s">
        <v>350</v>
      </c>
      <c r="C58" s="100" t="s">
        <v>33</v>
      </c>
      <c r="D58" s="100">
        <v>1</v>
      </c>
      <c r="E58" s="56">
        <v>805094</v>
      </c>
      <c r="F58" s="248">
        <f t="shared" si="4"/>
        <v>805094</v>
      </c>
      <c r="G58" s="250"/>
      <c r="H58" s="250"/>
      <c r="I58" s="250"/>
      <c r="J58" s="250"/>
      <c r="K58" s="250"/>
      <c r="L58" s="250"/>
      <c r="M58" s="250"/>
      <c r="N58" s="250"/>
      <c r="O58" s="249"/>
      <c r="P58" s="250"/>
      <c r="Q58" s="250"/>
      <c r="R58" s="250"/>
      <c r="S58" s="250"/>
      <c r="T58" s="250"/>
      <c r="U58" s="250"/>
      <c r="V58" s="310"/>
    </row>
    <row r="59" spans="1:22" ht="25.5" x14ac:dyDescent="0.2">
      <c r="A59" s="74">
        <v>7.17</v>
      </c>
      <c r="B59" s="99" t="s">
        <v>351</v>
      </c>
      <c r="C59" s="100" t="s">
        <v>33</v>
      </c>
      <c r="D59" s="100">
        <v>1</v>
      </c>
      <c r="E59" s="56">
        <v>138360</v>
      </c>
      <c r="F59" s="248">
        <f t="shared" si="4"/>
        <v>138360</v>
      </c>
      <c r="G59" s="250"/>
      <c r="H59" s="250"/>
      <c r="I59" s="250"/>
      <c r="J59" s="250"/>
      <c r="K59" s="250"/>
      <c r="L59" s="250"/>
      <c r="M59" s="250"/>
      <c r="N59" s="250"/>
      <c r="O59" s="249"/>
      <c r="P59" s="250"/>
      <c r="Q59" s="250"/>
      <c r="R59" s="250"/>
      <c r="S59" s="250"/>
      <c r="T59" s="250"/>
      <c r="U59" s="250"/>
      <c r="V59" s="310"/>
    </row>
    <row r="60" spans="1:22" ht="38.25" x14ac:dyDescent="0.2">
      <c r="A60" s="74">
        <v>7.1800000000000104</v>
      </c>
      <c r="B60" s="99" t="s">
        <v>352</v>
      </c>
      <c r="C60" s="100" t="s">
        <v>33</v>
      </c>
      <c r="D60" s="100">
        <v>12</v>
      </c>
      <c r="E60" s="56">
        <v>1659352</v>
      </c>
      <c r="F60" s="248">
        <f t="shared" si="4"/>
        <v>19912224</v>
      </c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49"/>
      <c r="T60" s="250"/>
      <c r="U60" s="250"/>
      <c r="V60" s="310"/>
    </row>
    <row r="61" spans="1:22" ht="38.25" x14ac:dyDescent="0.2">
      <c r="A61" s="74">
        <v>7.1900000000000102</v>
      </c>
      <c r="B61" s="99" t="s">
        <v>353</v>
      </c>
      <c r="C61" s="100" t="s">
        <v>33</v>
      </c>
      <c r="D61" s="100">
        <v>23</v>
      </c>
      <c r="E61" s="56">
        <v>123746</v>
      </c>
      <c r="F61" s="248">
        <f t="shared" si="4"/>
        <v>2846158</v>
      </c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49"/>
      <c r="T61" s="250"/>
      <c r="U61" s="250"/>
      <c r="V61" s="310"/>
    </row>
    <row r="62" spans="1:22" ht="25.5" x14ac:dyDescent="0.2">
      <c r="A62" s="74">
        <v>7.2000000000000099</v>
      </c>
      <c r="B62" s="99" t="s">
        <v>354</v>
      </c>
      <c r="C62" s="100" t="s">
        <v>33</v>
      </c>
      <c r="D62" s="100">
        <v>19</v>
      </c>
      <c r="E62" s="56">
        <v>119145</v>
      </c>
      <c r="F62" s="248">
        <f t="shared" si="4"/>
        <v>2263755</v>
      </c>
      <c r="G62" s="250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49"/>
      <c r="T62" s="250"/>
      <c r="U62" s="250"/>
      <c r="V62" s="310"/>
    </row>
    <row r="63" spans="1:22" x14ac:dyDescent="0.2">
      <c r="A63" s="74">
        <v>7.2100000000000097</v>
      </c>
      <c r="B63" s="99" t="s">
        <v>355</v>
      </c>
      <c r="C63" s="100" t="s">
        <v>33</v>
      </c>
      <c r="D63" s="100">
        <v>10</v>
      </c>
      <c r="E63" s="56">
        <v>50090</v>
      </c>
      <c r="F63" s="248">
        <f t="shared" si="4"/>
        <v>500900</v>
      </c>
      <c r="G63" s="250"/>
      <c r="H63" s="250"/>
      <c r="I63" s="250"/>
      <c r="J63" s="250"/>
      <c r="K63" s="250"/>
      <c r="L63" s="250"/>
      <c r="M63" s="250"/>
      <c r="N63" s="250"/>
      <c r="O63" s="250"/>
      <c r="P63" s="249"/>
      <c r="Q63" s="250"/>
      <c r="R63" s="250"/>
      <c r="S63" s="250"/>
      <c r="T63" s="250"/>
      <c r="U63" s="250"/>
      <c r="V63" s="310"/>
    </row>
    <row r="64" spans="1:22" x14ac:dyDescent="0.2">
      <c r="A64" s="74">
        <v>7.2200000000000104</v>
      </c>
      <c r="B64" s="99" t="s">
        <v>356</v>
      </c>
      <c r="C64" s="100" t="s">
        <v>33</v>
      </c>
      <c r="D64" s="100">
        <v>3</v>
      </c>
      <c r="E64" s="56">
        <v>50637</v>
      </c>
      <c r="F64" s="248">
        <f t="shared" si="4"/>
        <v>151911</v>
      </c>
      <c r="G64" s="250"/>
      <c r="H64" s="250"/>
      <c r="I64" s="250"/>
      <c r="J64" s="250"/>
      <c r="K64" s="250"/>
      <c r="L64" s="250"/>
      <c r="M64" s="250"/>
      <c r="N64" s="250"/>
      <c r="O64" s="250"/>
      <c r="P64" s="249"/>
      <c r="Q64" s="250"/>
      <c r="R64" s="250"/>
      <c r="S64" s="250"/>
      <c r="T64" s="250"/>
      <c r="U64" s="250"/>
      <c r="V64" s="310"/>
    </row>
    <row r="65" spans="1:22" ht="25.5" x14ac:dyDescent="0.2">
      <c r="A65" s="74">
        <v>7.2300000000000102</v>
      </c>
      <c r="B65" s="99" t="s">
        <v>696</v>
      </c>
      <c r="C65" s="100" t="s">
        <v>33</v>
      </c>
      <c r="D65" s="100">
        <v>9</v>
      </c>
      <c r="E65" s="56">
        <v>302364</v>
      </c>
      <c r="F65" s="248">
        <f t="shared" si="4"/>
        <v>2721276</v>
      </c>
      <c r="G65" s="250"/>
      <c r="H65" s="250"/>
      <c r="I65" s="250"/>
      <c r="J65" s="250"/>
      <c r="K65" s="250"/>
      <c r="L65" s="250"/>
      <c r="M65" s="250"/>
      <c r="N65" s="250"/>
      <c r="O65" s="250"/>
      <c r="P65" s="249"/>
      <c r="Q65" s="250"/>
      <c r="R65" s="250"/>
      <c r="S65" s="250"/>
      <c r="T65" s="250"/>
      <c r="U65" s="250"/>
      <c r="V65" s="310"/>
    </row>
    <row r="66" spans="1:22" ht="25.5" x14ac:dyDescent="0.2">
      <c r="A66" s="74">
        <v>7.24000000000001</v>
      </c>
      <c r="B66" s="99" t="s">
        <v>697</v>
      </c>
      <c r="C66" s="100" t="s">
        <v>33</v>
      </c>
      <c r="D66" s="100">
        <v>2</v>
      </c>
      <c r="E66" s="56">
        <v>305257</v>
      </c>
      <c r="F66" s="248">
        <f t="shared" si="4"/>
        <v>610514</v>
      </c>
      <c r="G66" s="250"/>
      <c r="H66" s="250"/>
      <c r="I66" s="250"/>
      <c r="J66" s="250"/>
      <c r="K66" s="250"/>
      <c r="L66" s="250"/>
      <c r="M66" s="250"/>
      <c r="N66" s="250"/>
      <c r="O66" s="250"/>
      <c r="P66" s="249"/>
      <c r="Q66" s="250"/>
      <c r="R66" s="250"/>
      <c r="S66" s="250"/>
      <c r="T66" s="250"/>
      <c r="U66" s="250"/>
      <c r="V66" s="310"/>
    </row>
    <row r="67" spans="1:22" ht="25.5" x14ac:dyDescent="0.2">
      <c r="A67" s="74">
        <v>7.2500000000000098</v>
      </c>
      <c r="B67" s="99" t="s">
        <v>357</v>
      </c>
      <c r="C67" s="100" t="s">
        <v>33</v>
      </c>
      <c r="D67" s="100">
        <v>1</v>
      </c>
      <c r="E67" s="56">
        <v>58683</v>
      </c>
      <c r="F67" s="248">
        <f t="shared" si="4"/>
        <v>58683</v>
      </c>
      <c r="G67" s="250"/>
      <c r="H67" s="250"/>
      <c r="I67" s="250"/>
      <c r="J67" s="250"/>
      <c r="K67" s="250"/>
      <c r="L67" s="250"/>
      <c r="M67" s="250"/>
      <c r="N67" s="250"/>
      <c r="O67" s="250"/>
      <c r="P67" s="249"/>
      <c r="Q67" s="250"/>
      <c r="R67" s="250"/>
      <c r="S67" s="250"/>
      <c r="T67" s="250"/>
      <c r="U67" s="250"/>
      <c r="V67" s="310"/>
    </row>
    <row r="68" spans="1:22" x14ac:dyDescent="0.2">
      <c r="A68" s="74">
        <v>7.2600000000000096</v>
      </c>
      <c r="B68" s="99" t="s">
        <v>358</v>
      </c>
      <c r="C68" s="100" t="s">
        <v>33</v>
      </c>
      <c r="D68" s="100">
        <v>4</v>
      </c>
      <c r="E68" s="56">
        <v>139400</v>
      </c>
      <c r="F68" s="248">
        <f t="shared" si="4"/>
        <v>557600</v>
      </c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49"/>
      <c r="R68" s="250"/>
      <c r="S68" s="250"/>
      <c r="T68" s="250"/>
      <c r="U68" s="250"/>
      <c r="V68" s="310"/>
    </row>
    <row r="69" spans="1:22" x14ac:dyDescent="0.2">
      <c r="A69" s="74">
        <v>7.2700000000000102</v>
      </c>
      <c r="B69" s="99" t="s">
        <v>359</v>
      </c>
      <c r="C69" s="100" t="s">
        <v>33</v>
      </c>
      <c r="D69" s="100">
        <v>1</v>
      </c>
      <c r="E69" s="56">
        <v>210000</v>
      </c>
      <c r="F69" s="248">
        <f t="shared" si="4"/>
        <v>210000</v>
      </c>
      <c r="G69" s="250"/>
      <c r="H69" s="250"/>
      <c r="I69" s="250"/>
      <c r="J69" s="249"/>
      <c r="K69" s="249"/>
      <c r="L69" s="250"/>
      <c r="M69" s="250"/>
      <c r="N69" s="250"/>
      <c r="O69" s="250"/>
      <c r="P69" s="250"/>
      <c r="Q69" s="250"/>
      <c r="R69" s="250"/>
      <c r="S69" s="250"/>
      <c r="T69" s="250"/>
      <c r="U69" s="250"/>
      <c r="V69" s="310"/>
    </row>
    <row r="70" spans="1:22" ht="25.5" x14ac:dyDescent="0.2">
      <c r="A70" s="74">
        <v>7.28000000000001</v>
      </c>
      <c r="B70" s="99" t="s">
        <v>360</v>
      </c>
      <c r="C70" s="100" t="s">
        <v>33</v>
      </c>
      <c r="D70" s="100">
        <v>1</v>
      </c>
      <c r="E70" s="56">
        <v>600000</v>
      </c>
      <c r="F70" s="248">
        <f t="shared" si="4"/>
        <v>600000</v>
      </c>
      <c r="G70" s="250"/>
      <c r="H70" s="250"/>
      <c r="I70" s="250"/>
      <c r="J70" s="249"/>
      <c r="K70" s="249"/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310"/>
    </row>
    <row r="71" spans="1:22" ht="25.5" x14ac:dyDescent="0.2">
      <c r="A71" s="74">
        <v>7.2900000000000098</v>
      </c>
      <c r="B71" s="99" t="s">
        <v>361</v>
      </c>
      <c r="C71" s="100" t="s">
        <v>33</v>
      </c>
      <c r="D71" s="100">
        <v>1</v>
      </c>
      <c r="E71" s="56">
        <v>2500000</v>
      </c>
      <c r="F71" s="248">
        <f t="shared" si="4"/>
        <v>2500000</v>
      </c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49"/>
      <c r="S71" s="250"/>
      <c r="T71" s="250"/>
      <c r="U71" s="250"/>
      <c r="V71" s="310"/>
    </row>
    <row r="72" spans="1:22" x14ac:dyDescent="0.2">
      <c r="A72" s="74">
        <v>7.3000000000000096</v>
      </c>
      <c r="B72" s="99" t="s">
        <v>362</v>
      </c>
      <c r="C72" s="100" t="s">
        <v>33</v>
      </c>
      <c r="D72" s="100">
        <v>1</v>
      </c>
      <c r="E72" s="56">
        <v>1500000</v>
      </c>
      <c r="F72" s="248">
        <f t="shared" si="4"/>
        <v>1500000</v>
      </c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49"/>
      <c r="S72" s="250"/>
      <c r="T72" s="250"/>
      <c r="U72" s="250"/>
      <c r="V72" s="310"/>
    </row>
    <row r="73" spans="1:22" x14ac:dyDescent="0.2">
      <c r="A73" s="70">
        <v>8</v>
      </c>
      <c r="B73" s="6" t="s">
        <v>24</v>
      </c>
      <c r="C73" s="7"/>
      <c r="D73" s="7"/>
      <c r="E73" s="7"/>
      <c r="F73" s="246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310"/>
    </row>
    <row r="74" spans="1:22" x14ac:dyDescent="0.2">
      <c r="A74" s="72">
        <v>8.1</v>
      </c>
      <c r="B74" s="99" t="s">
        <v>60</v>
      </c>
      <c r="C74" s="100" t="s">
        <v>33</v>
      </c>
      <c r="D74" s="100">
        <f>+CANTIDADES!H206</f>
        <v>4</v>
      </c>
      <c r="E74" s="13">
        <f>+'APU FORMATO'!F653</f>
        <v>401162.36754534498</v>
      </c>
      <c r="F74" s="247">
        <f>E74*D74</f>
        <v>1604649.4701813799</v>
      </c>
      <c r="G74" s="250"/>
      <c r="H74" s="250"/>
      <c r="I74" s="250"/>
      <c r="J74" s="250"/>
      <c r="K74" s="250"/>
      <c r="L74" s="250"/>
      <c r="M74" s="250"/>
      <c r="N74" s="249"/>
      <c r="O74" s="250"/>
      <c r="P74" s="250"/>
      <c r="Q74" s="250"/>
      <c r="R74" s="250"/>
      <c r="S74" s="250"/>
      <c r="T74" s="250"/>
      <c r="U74" s="250"/>
      <c r="V74" s="310"/>
    </row>
    <row r="75" spans="1:22" ht="25.5" x14ac:dyDescent="0.2">
      <c r="A75" s="72">
        <v>8.1999999999999993</v>
      </c>
      <c r="B75" s="99" t="s">
        <v>59</v>
      </c>
      <c r="C75" s="100" t="s">
        <v>41</v>
      </c>
      <c r="D75" s="100">
        <f>+CANTIDADES!H214</f>
        <v>103.77</v>
      </c>
      <c r="E75" s="13">
        <f>+'APU FORMATO'!F676</f>
        <v>47999.284958186676</v>
      </c>
      <c r="F75" s="247">
        <f t="shared" ref="F75:F84" si="5">E75*D75</f>
        <v>4980885.8001110312</v>
      </c>
      <c r="G75" s="250"/>
      <c r="H75" s="250"/>
      <c r="I75" s="250"/>
      <c r="J75" s="250"/>
      <c r="K75" s="250"/>
      <c r="L75" s="250"/>
      <c r="M75" s="250"/>
      <c r="N75" s="249"/>
      <c r="O75" s="249"/>
      <c r="P75" s="250"/>
      <c r="Q75" s="250"/>
      <c r="R75" s="250"/>
      <c r="S75" s="250"/>
      <c r="T75" s="250"/>
      <c r="U75" s="250"/>
      <c r="V75" s="310"/>
    </row>
    <row r="76" spans="1:22" ht="25.5" x14ac:dyDescent="0.2">
      <c r="A76" s="72">
        <v>8.3000000000000007</v>
      </c>
      <c r="B76" s="99" t="s">
        <v>193</v>
      </c>
      <c r="C76" s="100" t="s">
        <v>55</v>
      </c>
      <c r="D76" s="100">
        <f>+CANTIDADES!H218</f>
        <v>9</v>
      </c>
      <c r="E76" s="13">
        <f>+'APU FORMATO'!F701</f>
        <v>72283.902183333339</v>
      </c>
      <c r="F76" s="247">
        <f t="shared" si="5"/>
        <v>650555.11965000001</v>
      </c>
      <c r="G76" s="250"/>
      <c r="H76" s="250"/>
      <c r="I76" s="250"/>
      <c r="J76" s="250"/>
      <c r="K76" s="250"/>
      <c r="L76" s="250"/>
      <c r="M76" s="250"/>
      <c r="N76" s="249"/>
      <c r="O76" s="249"/>
      <c r="P76" s="250"/>
      <c r="Q76" s="250"/>
      <c r="R76" s="250"/>
      <c r="S76" s="250"/>
      <c r="T76" s="250"/>
      <c r="U76" s="250"/>
      <c r="V76" s="310"/>
    </row>
    <row r="77" spans="1:22" ht="25.5" x14ac:dyDescent="0.2">
      <c r="A77" s="72">
        <v>8.4</v>
      </c>
      <c r="B77" s="99" t="s">
        <v>192</v>
      </c>
      <c r="C77" s="100" t="s">
        <v>55</v>
      </c>
      <c r="D77" s="100">
        <f>+CANTIDADES!H221</f>
        <v>2</v>
      </c>
      <c r="E77" s="13">
        <f>+'APU FORMATO'!F726</f>
        <v>72523.139783333332</v>
      </c>
      <c r="F77" s="247">
        <f t="shared" si="5"/>
        <v>145046.27956666666</v>
      </c>
      <c r="G77" s="250"/>
      <c r="H77" s="250"/>
      <c r="I77" s="250"/>
      <c r="J77" s="250"/>
      <c r="K77" s="250"/>
      <c r="L77" s="250"/>
      <c r="M77" s="250"/>
      <c r="N77" s="249"/>
      <c r="O77" s="249"/>
      <c r="P77" s="250"/>
      <c r="Q77" s="250"/>
      <c r="R77" s="250"/>
      <c r="S77" s="250"/>
      <c r="T77" s="250"/>
      <c r="U77" s="250"/>
      <c r="V77" s="310"/>
    </row>
    <row r="78" spans="1:22" ht="25.5" x14ac:dyDescent="0.2">
      <c r="A78" s="72">
        <v>8.5</v>
      </c>
      <c r="B78" s="99" t="s">
        <v>194</v>
      </c>
      <c r="C78" s="100" t="s">
        <v>55</v>
      </c>
      <c r="D78" s="100">
        <f>+CANTIDADES!H225</f>
        <v>8</v>
      </c>
      <c r="E78" s="13">
        <f>+'APU FORMATO'!F751</f>
        <v>72523.139783333332</v>
      </c>
      <c r="F78" s="247">
        <f t="shared" si="5"/>
        <v>580185.11826666666</v>
      </c>
      <c r="G78" s="250"/>
      <c r="H78" s="250"/>
      <c r="I78" s="250"/>
      <c r="J78" s="250"/>
      <c r="K78" s="250"/>
      <c r="L78" s="250"/>
      <c r="M78" s="250"/>
      <c r="N78" s="249"/>
      <c r="O78" s="249"/>
      <c r="P78" s="250"/>
      <c r="Q78" s="250"/>
      <c r="R78" s="250"/>
      <c r="S78" s="250"/>
      <c r="T78" s="250"/>
      <c r="U78" s="250"/>
      <c r="V78" s="310"/>
    </row>
    <row r="79" spans="1:22" ht="25.5" x14ac:dyDescent="0.2">
      <c r="A79" s="72">
        <v>8.6</v>
      </c>
      <c r="B79" s="99" t="s">
        <v>196</v>
      </c>
      <c r="C79" s="100" t="s">
        <v>55</v>
      </c>
      <c r="D79" s="100">
        <f>+CANTIDADES!H226</f>
        <v>3</v>
      </c>
      <c r="E79" s="13">
        <f>+'APU FORMATO'!F776</f>
        <v>77054.061741666665</v>
      </c>
      <c r="F79" s="247">
        <f t="shared" si="5"/>
        <v>231162.18522499999</v>
      </c>
      <c r="G79" s="250"/>
      <c r="H79" s="250"/>
      <c r="I79" s="250"/>
      <c r="J79" s="250"/>
      <c r="K79" s="250"/>
      <c r="L79" s="250"/>
      <c r="M79" s="250"/>
      <c r="N79" s="249"/>
      <c r="O79" s="249"/>
      <c r="P79" s="250"/>
      <c r="Q79" s="250"/>
      <c r="R79" s="250"/>
      <c r="S79" s="250"/>
      <c r="T79" s="250"/>
      <c r="U79" s="250"/>
      <c r="V79" s="310"/>
    </row>
    <row r="80" spans="1:22" ht="25.5" x14ac:dyDescent="0.2">
      <c r="A80" s="72">
        <v>8.6999999999999993</v>
      </c>
      <c r="B80" s="99" t="s">
        <v>52</v>
      </c>
      <c r="C80" s="100" t="s">
        <v>55</v>
      </c>
      <c r="D80" s="100">
        <f>+CANTIDADES!H230</f>
        <v>7</v>
      </c>
      <c r="E80" s="13">
        <f>+'APU FORMATO'!F800</f>
        <v>120728.35181225001</v>
      </c>
      <c r="F80" s="247">
        <f t="shared" si="5"/>
        <v>845098.4626857501</v>
      </c>
      <c r="G80" s="250"/>
      <c r="H80" s="250"/>
      <c r="I80" s="250"/>
      <c r="J80" s="250"/>
      <c r="K80" s="250"/>
      <c r="L80" s="250"/>
      <c r="M80" s="250"/>
      <c r="N80" s="249"/>
      <c r="O80" s="249"/>
      <c r="P80" s="250"/>
      <c r="Q80" s="250"/>
      <c r="R80" s="250"/>
      <c r="S80" s="250"/>
      <c r="T80" s="250"/>
      <c r="U80" s="250"/>
      <c r="V80" s="310"/>
    </row>
    <row r="81" spans="1:22" x14ac:dyDescent="0.2">
      <c r="A81" s="72">
        <v>8.8000000000000007</v>
      </c>
      <c r="B81" s="99" t="s">
        <v>46</v>
      </c>
      <c r="C81" s="100" t="s">
        <v>41</v>
      </c>
      <c r="D81" s="100">
        <f>+CANTIDADES!H231</f>
        <v>39.599999999999994</v>
      </c>
      <c r="E81" s="13">
        <f>+'APU FORMATO'!F823</f>
        <v>44965.72428447222</v>
      </c>
      <c r="F81" s="247">
        <f t="shared" si="5"/>
        <v>1780642.6816650997</v>
      </c>
      <c r="G81" s="250"/>
      <c r="H81" s="250"/>
      <c r="I81" s="250"/>
      <c r="J81" s="250"/>
      <c r="K81" s="250"/>
      <c r="L81" s="250"/>
      <c r="M81" s="250"/>
      <c r="N81" s="250"/>
      <c r="O81" s="249"/>
      <c r="P81" s="249"/>
      <c r="Q81" s="250"/>
      <c r="R81" s="250"/>
      <c r="S81" s="250"/>
      <c r="T81" s="250"/>
      <c r="U81" s="250"/>
      <c r="V81" s="310"/>
    </row>
    <row r="82" spans="1:22" x14ac:dyDescent="0.2">
      <c r="A82" s="72">
        <v>8.9</v>
      </c>
      <c r="B82" s="99" t="s">
        <v>197</v>
      </c>
      <c r="C82" s="100" t="s">
        <v>41</v>
      </c>
      <c r="D82" s="100">
        <f>+CANTIDADES!H236</f>
        <v>246.45400000000001</v>
      </c>
      <c r="E82" s="13">
        <f>+'APU FORMATO'!F847</f>
        <v>38794.053991699548</v>
      </c>
      <c r="F82" s="247">
        <f t="shared" si="5"/>
        <v>9560949.7824703213</v>
      </c>
      <c r="G82" s="250"/>
      <c r="H82" s="250"/>
      <c r="I82" s="250"/>
      <c r="J82" s="250"/>
      <c r="K82" s="250"/>
      <c r="L82" s="250"/>
      <c r="M82" s="250"/>
      <c r="N82" s="250"/>
      <c r="O82" s="251"/>
      <c r="P82" s="251"/>
      <c r="Q82" s="250"/>
      <c r="R82" s="250"/>
      <c r="S82" s="249"/>
      <c r="T82" s="250"/>
      <c r="U82" s="250"/>
      <c r="V82" s="310"/>
    </row>
    <row r="83" spans="1:22" x14ac:dyDescent="0.2">
      <c r="A83" s="74">
        <v>8.1</v>
      </c>
      <c r="B83" s="99" t="s">
        <v>195</v>
      </c>
      <c r="C83" s="100" t="s">
        <v>55</v>
      </c>
      <c r="D83" s="100">
        <f>+CANTIDADES!H240</f>
        <v>8</v>
      </c>
      <c r="E83" s="13">
        <f>+'APU FORMATO'!F867</f>
        <v>23801.930489583334</v>
      </c>
      <c r="F83" s="247">
        <f t="shared" si="5"/>
        <v>190415.44391666667</v>
      </c>
      <c r="G83" s="250"/>
      <c r="H83" s="250"/>
      <c r="I83" s="250"/>
      <c r="J83" s="250"/>
      <c r="K83" s="250"/>
      <c r="L83" s="250"/>
      <c r="M83" s="250"/>
      <c r="N83" s="250"/>
      <c r="O83" s="250"/>
      <c r="P83" s="249"/>
      <c r="Q83" s="250"/>
      <c r="R83" s="250"/>
      <c r="S83" s="250"/>
      <c r="T83" s="250"/>
      <c r="U83" s="250"/>
      <c r="V83" s="310"/>
    </row>
    <row r="84" spans="1:22" ht="25.5" x14ac:dyDescent="0.2">
      <c r="A84" s="74">
        <v>8.11</v>
      </c>
      <c r="B84" s="99" t="s">
        <v>445</v>
      </c>
      <c r="C84" s="100" t="s">
        <v>55</v>
      </c>
      <c r="D84" s="100">
        <f>+CANTIDADES!H241</f>
        <v>1</v>
      </c>
      <c r="E84" s="13">
        <f>+'APU FORMATO'!F889</f>
        <v>856350.30205592094</v>
      </c>
      <c r="F84" s="247">
        <f t="shared" si="5"/>
        <v>856350.30205592094</v>
      </c>
      <c r="G84" s="250"/>
      <c r="H84" s="250"/>
      <c r="I84" s="250"/>
      <c r="J84" s="250"/>
      <c r="K84" s="250"/>
      <c r="L84" s="250"/>
      <c r="M84" s="250"/>
      <c r="N84" s="249"/>
      <c r="O84" s="250"/>
      <c r="P84" s="250"/>
      <c r="Q84" s="250"/>
      <c r="R84" s="250"/>
      <c r="S84" s="250"/>
      <c r="T84" s="250"/>
      <c r="U84" s="250"/>
      <c r="V84" s="310"/>
    </row>
    <row r="85" spans="1:22" ht="25.5" x14ac:dyDescent="0.2">
      <c r="A85" s="74">
        <v>8.1199999999999992</v>
      </c>
      <c r="B85" s="99" t="s">
        <v>444</v>
      </c>
      <c r="C85" s="100" t="s">
        <v>55</v>
      </c>
      <c r="D85" s="100">
        <f>+CANTIDADES!H242</f>
        <v>1</v>
      </c>
      <c r="E85" s="13">
        <f>+'APU FORMATO'!F912</f>
        <v>1481867.9488769737</v>
      </c>
      <c r="F85" s="247">
        <f>E85*D85</f>
        <v>1481867.9488769737</v>
      </c>
      <c r="G85" s="250"/>
      <c r="H85" s="250"/>
      <c r="I85" s="250"/>
      <c r="J85" s="250"/>
      <c r="K85" s="250"/>
      <c r="L85" s="250"/>
      <c r="M85" s="250"/>
      <c r="N85" s="249"/>
      <c r="O85" s="250"/>
      <c r="P85" s="250"/>
      <c r="Q85" s="250"/>
      <c r="R85" s="250"/>
      <c r="S85" s="250"/>
      <c r="T85" s="250"/>
      <c r="U85" s="250"/>
      <c r="V85" s="310"/>
    </row>
    <row r="86" spans="1:22" ht="25.5" x14ac:dyDescent="0.2">
      <c r="A86" s="74">
        <v>8.1300000000000008</v>
      </c>
      <c r="B86" s="99" t="s">
        <v>500</v>
      </c>
      <c r="C86" s="100" t="s">
        <v>41</v>
      </c>
      <c r="D86" s="100">
        <f>+CANTIDADES!H245</f>
        <v>76.62</v>
      </c>
      <c r="E86" s="13">
        <f>+'APU FORMATO'!F938</f>
        <v>99124.264985500005</v>
      </c>
      <c r="F86" s="247">
        <f>E86*D86</f>
        <v>7594901.1831890112</v>
      </c>
      <c r="G86" s="250"/>
      <c r="H86" s="250"/>
      <c r="I86" s="250"/>
      <c r="J86" s="250"/>
      <c r="K86" s="250"/>
      <c r="L86" s="250"/>
      <c r="M86" s="250"/>
      <c r="N86" s="249"/>
      <c r="O86" s="249"/>
      <c r="P86" s="250"/>
      <c r="Q86" s="250"/>
      <c r="R86" s="250"/>
      <c r="S86" s="250"/>
      <c r="T86" s="250"/>
      <c r="U86" s="250"/>
      <c r="V86" s="310"/>
    </row>
    <row r="87" spans="1:22" x14ac:dyDescent="0.2">
      <c r="A87" s="70">
        <v>9</v>
      </c>
      <c r="B87" s="6" t="s">
        <v>25</v>
      </c>
      <c r="C87" s="7"/>
      <c r="D87" s="7"/>
      <c r="E87" s="7"/>
      <c r="F87" s="246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310"/>
    </row>
    <row r="88" spans="1:22" x14ac:dyDescent="0.2">
      <c r="A88" s="72">
        <v>9.1</v>
      </c>
      <c r="B88" s="99" t="s">
        <v>198</v>
      </c>
      <c r="C88" s="100" t="s">
        <v>55</v>
      </c>
      <c r="D88" s="100">
        <f>+CANTIDADES!H250</f>
        <v>9</v>
      </c>
      <c r="E88" s="13">
        <f>+'APU FORMATO'!F969</f>
        <v>42549.806831333335</v>
      </c>
      <c r="F88" s="247">
        <f>E88*D88</f>
        <v>382948.261482</v>
      </c>
      <c r="G88" s="250"/>
      <c r="H88" s="250"/>
      <c r="I88" s="250"/>
      <c r="J88" s="250"/>
      <c r="K88" s="250"/>
      <c r="L88" s="250"/>
      <c r="M88" s="250"/>
      <c r="N88" s="249"/>
      <c r="O88" s="249"/>
      <c r="P88" s="250"/>
      <c r="Q88" s="250"/>
      <c r="R88" s="250"/>
      <c r="S88" s="250"/>
      <c r="T88" s="250"/>
      <c r="U88" s="250"/>
      <c r="V88" s="310"/>
    </row>
    <row r="89" spans="1:22" x14ac:dyDescent="0.2">
      <c r="A89" s="72">
        <v>9.1999999999999993</v>
      </c>
      <c r="B89" s="99" t="s">
        <v>199</v>
      </c>
      <c r="C89" s="100" t="s">
        <v>55</v>
      </c>
      <c r="D89" s="100">
        <f>+CANTIDADES!H253</f>
        <v>2</v>
      </c>
      <c r="E89" s="13">
        <f>+'APU FORMATO'!F996</f>
        <v>42549.806831333335</v>
      </c>
      <c r="F89" s="247">
        <f t="shared" ref="F89:F107" si="6">E89*D89</f>
        <v>85099.61366266667</v>
      </c>
      <c r="G89" s="250"/>
      <c r="H89" s="250"/>
      <c r="I89" s="250"/>
      <c r="J89" s="250"/>
      <c r="K89" s="250"/>
      <c r="L89" s="250"/>
      <c r="M89" s="250"/>
      <c r="N89" s="249"/>
      <c r="O89" s="249"/>
      <c r="P89" s="250"/>
      <c r="Q89" s="250"/>
      <c r="R89" s="250"/>
      <c r="S89" s="250"/>
      <c r="T89" s="250"/>
      <c r="U89" s="250"/>
      <c r="V89" s="310"/>
    </row>
    <row r="90" spans="1:22" x14ac:dyDescent="0.2">
      <c r="A90" s="72">
        <v>9.3000000000000007</v>
      </c>
      <c r="B90" s="99" t="s">
        <v>200</v>
      </c>
      <c r="C90" s="100" t="s">
        <v>55</v>
      </c>
      <c r="D90" s="100">
        <f>+CANTIDADES!H256</f>
        <v>3</v>
      </c>
      <c r="E90" s="13">
        <f>+'APU FORMATO'!F1025</f>
        <v>64929.673211333335</v>
      </c>
      <c r="F90" s="247">
        <f t="shared" si="6"/>
        <v>194789.019634</v>
      </c>
      <c r="G90" s="250"/>
      <c r="H90" s="250"/>
      <c r="I90" s="250"/>
      <c r="J90" s="250"/>
      <c r="K90" s="250"/>
      <c r="L90" s="250"/>
      <c r="M90" s="250"/>
      <c r="N90" s="249"/>
      <c r="O90" s="249"/>
      <c r="P90" s="250"/>
      <c r="Q90" s="250"/>
      <c r="R90" s="250"/>
      <c r="S90" s="250"/>
      <c r="T90" s="250"/>
      <c r="U90" s="250"/>
      <c r="V90" s="310"/>
    </row>
    <row r="91" spans="1:22" x14ac:dyDescent="0.2">
      <c r="A91" s="72">
        <v>9.4</v>
      </c>
      <c r="B91" s="99" t="s">
        <v>202</v>
      </c>
      <c r="C91" s="100" t="s">
        <v>55</v>
      </c>
      <c r="D91" s="100">
        <f>+CANTIDADES!H257</f>
        <v>3</v>
      </c>
      <c r="E91" s="13">
        <f>+'APU FORMATO'!F1049</f>
        <v>87564.016103333328</v>
      </c>
      <c r="F91" s="247">
        <f t="shared" si="6"/>
        <v>262692.04830999998</v>
      </c>
      <c r="G91" s="250"/>
      <c r="H91" s="250"/>
      <c r="I91" s="250"/>
      <c r="J91" s="250"/>
      <c r="K91" s="250"/>
      <c r="L91" s="250"/>
      <c r="M91" s="250"/>
      <c r="N91" s="249"/>
      <c r="O91" s="249"/>
      <c r="P91" s="250"/>
      <c r="Q91" s="250"/>
      <c r="R91" s="250"/>
      <c r="S91" s="250"/>
      <c r="T91" s="250"/>
      <c r="U91" s="250"/>
      <c r="V91" s="310"/>
    </row>
    <row r="92" spans="1:22" x14ac:dyDescent="0.2">
      <c r="A92" s="72">
        <v>9.5</v>
      </c>
      <c r="B92" s="99" t="s">
        <v>201</v>
      </c>
      <c r="C92" s="100" t="s">
        <v>55</v>
      </c>
      <c r="D92" s="100">
        <f>+CANTIDADES!H260</f>
        <v>6</v>
      </c>
      <c r="E92" s="13">
        <f>+'APU FORMATO'!F1073</f>
        <v>88067.822603333334</v>
      </c>
      <c r="F92" s="247">
        <f t="shared" si="6"/>
        <v>528406.93562</v>
      </c>
      <c r="G92" s="250"/>
      <c r="H92" s="250"/>
      <c r="I92" s="250"/>
      <c r="J92" s="250"/>
      <c r="K92" s="250"/>
      <c r="L92" s="250"/>
      <c r="M92" s="250"/>
      <c r="N92" s="249"/>
      <c r="O92" s="249"/>
      <c r="P92" s="250"/>
      <c r="Q92" s="250"/>
      <c r="R92" s="250"/>
      <c r="S92" s="250"/>
      <c r="T92" s="250"/>
      <c r="U92" s="250"/>
      <c r="V92" s="310"/>
    </row>
    <row r="93" spans="1:22" x14ac:dyDescent="0.2">
      <c r="A93" s="72">
        <v>9.6</v>
      </c>
      <c r="B93" s="99" t="s">
        <v>401</v>
      </c>
      <c r="C93" s="100" t="s">
        <v>55</v>
      </c>
      <c r="D93" s="100">
        <f>+CANTIDADES!H261</f>
        <v>1</v>
      </c>
      <c r="E93" s="13">
        <f>+'APU FORMATO'!F1101</f>
        <v>911893.70920133335</v>
      </c>
      <c r="F93" s="247">
        <f t="shared" si="6"/>
        <v>911893.70920133335</v>
      </c>
      <c r="G93" s="250"/>
      <c r="H93" s="250"/>
      <c r="I93" s="250"/>
      <c r="J93" s="250"/>
      <c r="K93" s="250"/>
      <c r="L93" s="250"/>
      <c r="M93" s="250"/>
      <c r="N93" s="249"/>
      <c r="O93" s="249"/>
      <c r="P93" s="250"/>
      <c r="Q93" s="250"/>
      <c r="R93" s="250"/>
      <c r="S93" s="250"/>
      <c r="T93" s="250"/>
      <c r="U93" s="250"/>
      <c r="V93" s="310"/>
    </row>
    <row r="94" spans="1:22" ht="25.5" x14ac:dyDescent="0.2">
      <c r="A94" s="72">
        <v>9.6999999999999993</v>
      </c>
      <c r="B94" s="99" t="s">
        <v>327</v>
      </c>
      <c r="C94" s="100" t="s">
        <v>55</v>
      </c>
      <c r="D94" s="100">
        <f>+CANTIDADES!H264</f>
        <v>2</v>
      </c>
      <c r="E94" s="13">
        <f>+'APU FORMATO'!F1123</f>
        <v>237922.74617916669</v>
      </c>
      <c r="F94" s="247">
        <f t="shared" si="6"/>
        <v>475845.49235833337</v>
      </c>
      <c r="G94" s="250"/>
      <c r="H94" s="250"/>
      <c r="I94" s="250"/>
      <c r="J94" s="250"/>
      <c r="K94" s="250"/>
      <c r="L94" s="250"/>
      <c r="M94" s="250"/>
      <c r="N94" s="249"/>
      <c r="O94" s="249"/>
      <c r="P94" s="250"/>
      <c r="Q94" s="250"/>
      <c r="R94" s="250"/>
      <c r="S94" s="250"/>
      <c r="T94" s="250"/>
      <c r="U94" s="250"/>
      <c r="V94" s="310"/>
    </row>
    <row r="95" spans="1:22" ht="25.5" x14ac:dyDescent="0.2">
      <c r="A95" s="72">
        <v>9.8000000000000007</v>
      </c>
      <c r="B95" s="99" t="s">
        <v>328</v>
      </c>
      <c r="C95" s="100" t="s">
        <v>55</v>
      </c>
      <c r="D95" s="100">
        <f>+CANTIDADES!H265</f>
        <v>1</v>
      </c>
      <c r="E95" s="13">
        <f>+'APU FORMATO'!F1144</f>
        <v>59614.746179166672</v>
      </c>
      <c r="F95" s="247">
        <f t="shared" si="6"/>
        <v>59614.746179166672</v>
      </c>
      <c r="G95" s="250"/>
      <c r="H95" s="250"/>
      <c r="I95" s="250"/>
      <c r="J95" s="250"/>
      <c r="K95" s="250"/>
      <c r="L95" s="250"/>
      <c r="M95" s="250"/>
      <c r="N95" s="249"/>
      <c r="O95" s="249"/>
      <c r="P95" s="250"/>
      <c r="Q95" s="250"/>
      <c r="R95" s="250"/>
      <c r="S95" s="250"/>
      <c r="T95" s="250"/>
      <c r="U95" s="250"/>
      <c r="V95" s="310"/>
    </row>
    <row r="96" spans="1:22" ht="25.5" x14ac:dyDescent="0.2">
      <c r="A96" s="72">
        <v>9.9</v>
      </c>
      <c r="B96" s="99" t="s">
        <v>329</v>
      </c>
      <c r="C96" s="100"/>
      <c r="D96" s="100">
        <f>+CANTIDADES!H266</f>
        <v>1</v>
      </c>
      <c r="E96" s="13">
        <f>+'APU FORMATO'!F1165</f>
        <v>1299428.3330333333</v>
      </c>
      <c r="F96" s="247">
        <f t="shared" si="6"/>
        <v>1299428.3330333333</v>
      </c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49"/>
      <c r="T96" s="250"/>
      <c r="U96" s="250"/>
      <c r="V96" s="310"/>
    </row>
    <row r="97" spans="1:22" x14ac:dyDescent="0.2">
      <c r="A97" s="74">
        <v>9.1</v>
      </c>
      <c r="B97" s="99" t="s">
        <v>49</v>
      </c>
      <c r="C97" s="100" t="s">
        <v>41</v>
      </c>
      <c r="D97" s="100">
        <f>+CANTIDADES!H269</f>
        <v>20.02</v>
      </c>
      <c r="E97" s="13">
        <f>+'APU FORMATO'!F1191</f>
        <v>16122.651693658336</v>
      </c>
      <c r="F97" s="247">
        <f t="shared" si="6"/>
        <v>322775.48690703989</v>
      </c>
      <c r="G97" s="250"/>
      <c r="H97" s="250"/>
      <c r="I97" s="250"/>
      <c r="J97" s="250"/>
      <c r="K97" s="250"/>
      <c r="L97" s="250"/>
      <c r="M97" s="250"/>
      <c r="N97" s="249"/>
      <c r="O97" s="249"/>
      <c r="P97" s="250"/>
      <c r="Q97" s="250"/>
      <c r="R97" s="250"/>
      <c r="S97" s="250"/>
      <c r="T97" s="250"/>
      <c r="U97" s="250"/>
      <c r="V97" s="310"/>
    </row>
    <row r="98" spans="1:22" x14ac:dyDescent="0.2">
      <c r="A98" s="74">
        <v>9.11</v>
      </c>
      <c r="B98" s="99" t="s">
        <v>48</v>
      </c>
      <c r="C98" s="100" t="s">
        <v>41</v>
      </c>
      <c r="D98" s="100">
        <f>+CANTIDADES!H270</f>
        <v>4.76</v>
      </c>
      <c r="E98" s="13">
        <f>+'APU FORMATO'!F1216</f>
        <v>28257.292843133335</v>
      </c>
      <c r="F98" s="247">
        <f t="shared" si="6"/>
        <v>134504.71393331466</v>
      </c>
      <c r="G98" s="250"/>
      <c r="H98" s="250"/>
      <c r="I98" s="250"/>
      <c r="J98" s="250"/>
      <c r="K98" s="250"/>
      <c r="L98" s="250"/>
      <c r="M98" s="250"/>
      <c r="N98" s="249"/>
      <c r="O98" s="249"/>
      <c r="P98" s="250"/>
      <c r="Q98" s="250"/>
      <c r="R98" s="250"/>
      <c r="S98" s="250"/>
      <c r="T98" s="250"/>
      <c r="U98" s="250"/>
      <c r="V98" s="310"/>
    </row>
    <row r="99" spans="1:22" x14ac:dyDescent="0.2">
      <c r="A99" s="74">
        <v>9.1199999999999992</v>
      </c>
      <c r="B99" s="99" t="s">
        <v>47</v>
      </c>
      <c r="C99" s="100" t="s">
        <v>41</v>
      </c>
      <c r="D99" s="100">
        <f>+CANTIDADES!H271</f>
        <v>3.91</v>
      </c>
      <c r="E99" s="13">
        <f>+'APU FORMATO'!F1241</f>
        <v>33226.596519151426</v>
      </c>
      <c r="F99" s="247">
        <f t="shared" si="6"/>
        <v>129915.99238988209</v>
      </c>
      <c r="G99" s="250"/>
      <c r="H99" s="250"/>
      <c r="I99" s="250"/>
      <c r="J99" s="250"/>
      <c r="K99" s="250"/>
      <c r="L99" s="250"/>
      <c r="M99" s="250"/>
      <c r="N99" s="249"/>
      <c r="O99" s="249"/>
      <c r="P99" s="250"/>
      <c r="Q99" s="250"/>
      <c r="R99" s="250"/>
      <c r="S99" s="250"/>
      <c r="T99" s="250"/>
      <c r="U99" s="250"/>
      <c r="V99" s="310"/>
    </row>
    <row r="100" spans="1:22" ht="25.5" x14ac:dyDescent="0.2">
      <c r="A100" s="74">
        <v>9.1300000000000008</v>
      </c>
      <c r="B100" s="99" t="s">
        <v>391</v>
      </c>
      <c r="C100" s="100" t="s">
        <v>33</v>
      </c>
      <c r="D100" s="100">
        <f>+CANTIDADES!H272</f>
        <v>1</v>
      </c>
      <c r="E100" s="13">
        <f>+'APU FORMATO'!F1266</f>
        <v>3099174.12000525</v>
      </c>
      <c r="F100" s="247">
        <f t="shared" si="6"/>
        <v>3099174.12000525</v>
      </c>
      <c r="G100" s="250"/>
      <c r="H100" s="250"/>
      <c r="I100" s="250"/>
      <c r="J100" s="250"/>
      <c r="K100" s="250"/>
      <c r="L100" s="250"/>
      <c r="M100" s="250"/>
      <c r="N100" s="250"/>
      <c r="O100" s="249"/>
      <c r="P100" s="249"/>
      <c r="Q100" s="249"/>
      <c r="R100" s="250"/>
      <c r="S100" s="250"/>
      <c r="T100" s="250"/>
      <c r="U100" s="250"/>
      <c r="V100" s="310"/>
    </row>
    <row r="101" spans="1:22" x14ac:dyDescent="0.2">
      <c r="A101" s="74">
        <v>9.14</v>
      </c>
      <c r="B101" s="99" t="s">
        <v>395</v>
      </c>
      <c r="C101" s="100" t="s">
        <v>33</v>
      </c>
      <c r="D101" s="100">
        <f>+CANTIDADES!H273</f>
        <v>1</v>
      </c>
      <c r="E101" s="13">
        <f>+'APU FORMATO'!F1288</f>
        <v>2620456.3391666664</v>
      </c>
      <c r="F101" s="247">
        <f t="shared" si="6"/>
        <v>2620456.3391666664</v>
      </c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49"/>
      <c r="S101" s="250"/>
      <c r="T101" s="250"/>
      <c r="U101" s="250"/>
      <c r="V101" s="310"/>
    </row>
    <row r="102" spans="1:22" x14ac:dyDescent="0.2">
      <c r="A102" s="74">
        <v>9.15</v>
      </c>
      <c r="B102" s="99" t="s">
        <v>397</v>
      </c>
      <c r="C102" s="100" t="s">
        <v>33</v>
      </c>
      <c r="D102" s="100">
        <v>1</v>
      </c>
      <c r="E102" s="13">
        <f>+'APU FORMATO'!F1311</f>
        <v>327532.84726227733</v>
      </c>
      <c r="F102" s="247">
        <f t="shared" si="6"/>
        <v>327532.84726227733</v>
      </c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49"/>
      <c r="S102" s="250"/>
      <c r="T102" s="250"/>
      <c r="U102" s="250"/>
      <c r="V102" s="310"/>
    </row>
    <row r="103" spans="1:22" ht="25.5" x14ac:dyDescent="0.2">
      <c r="A103" s="74">
        <v>9.16</v>
      </c>
      <c r="B103" s="99" t="s">
        <v>662</v>
      </c>
      <c r="C103" s="100" t="s">
        <v>33</v>
      </c>
      <c r="D103" s="100">
        <f>+CANTIDADES!H275</f>
        <v>1</v>
      </c>
      <c r="E103" s="13">
        <f>+'APU FORMATO'!F1332</f>
        <v>46047.192629166668</v>
      </c>
      <c r="F103" s="247">
        <f t="shared" si="6"/>
        <v>46047.192629166668</v>
      </c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310"/>
    </row>
    <row r="104" spans="1:22" ht="25.5" x14ac:dyDescent="0.2">
      <c r="A104" s="74">
        <v>9.17</v>
      </c>
      <c r="B104" s="99" t="s">
        <v>676</v>
      </c>
      <c r="C104" s="100" t="s">
        <v>33</v>
      </c>
      <c r="D104" s="100">
        <f>+CANTIDADES!H278</f>
        <v>6</v>
      </c>
      <c r="E104" s="13">
        <f>+'APU FORMATO'!F1353</f>
        <v>114728.66882916668</v>
      </c>
      <c r="F104" s="247">
        <f t="shared" si="6"/>
        <v>688372.01297500008</v>
      </c>
      <c r="G104" s="250"/>
      <c r="H104" s="250"/>
      <c r="I104" s="250"/>
      <c r="J104" s="250"/>
      <c r="K104" s="250"/>
      <c r="L104" s="250"/>
      <c r="M104" s="250"/>
      <c r="N104" s="250"/>
      <c r="O104" s="249"/>
      <c r="P104" s="250"/>
      <c r="Q104" s="250"/>
      <c r="R104" s="250"/>
      <c r="S104" s="250"/>
      <c r="T104" s="250"/>
      <c r="U104" s="250"/>
      <c r="V104" s="310"/>
    </row>
    <row r="105" spans="1:22" x14ac:dyDescent="0.2">
      <c r="A105" s="74">
        <v>9.18</v>
      </c>
      <c r="B105" s="99" t="s">
        <v>657</v>
      </c>
      <c r="C105" s="100" t="s">
        <v>41</v>
      </c>
      <c r="D105" s="100">
        <f>+CANTIDADES!H282</f>
        <v>59.46</v>
      </c>
      <c r="E105" s="13">
        <f>+'APU FORMATO'!F1381</f>
        <v>32272.218439600005</v>
      </c>
      <c r="F105" s="247">
        <f t="shared" si="6"/>
        <v>1918906.1084186162</v>
      </c>
      <c r="G105" s="250"/>
      <c r="H105" s="250"/>
      <c r="I105" s="250"/>
      <c r="J105" s="250"/>
      <c r="K105" s="250"/>
      <c r="L105" s="250"/>
      <c r="M105" s="250"/>
      <c r="N105" s="250"/>
      <c r="O105" s="250"/>
      <c r="P105" s="249"/>
      <c r="Q105" s="249"/>
      <c r="R105" s="249"/>
      <c r="S105" s="250"/>
      <c r="T105" s="250"/>
      <c r="U105" s="250"/>
      <c r="V105" s="310"/>
    </row>
    <row r="106" spans="1:22" x14ac:dyDescent="0.2">
      <c r="A106" s="74">
        <v>9.19</v>
      </c>
      <c r="B106" s="99" t="s">
        <v>658</v>
      </c>
      <c r="C106" s="100" t="s">
        <v>41</v>
      </c>
      <c r="D106" s="100">
        <f>+CANTIDADES!H283</f>
        <v>4.96</v>
      </c>
      <c r="E106" s="13">
        <f>+'APU FORMATO'!F1407</f>
        <v>45649.664181400003</v>
      </c>
      <c r="F106" s="247">
        <f t="shared" si="6"/>
        <v>226422.334339744</v>
      </c>
      <c r="G106" s="250"/>
      <c r="H106" s="250"/>
      <c r="I106" s="250"/>
      <c r="J106" s="250"/>
      <c r="K106" s="250"/>
      <c r="L106" s="250"/>
      <c r="M106" s="250"/>
      <c r="N106" s="249"/>
      <c r="O106" s="249"/>
      <c r="P106" s="250"/>
      <c r="Q106" s="250"/>
      <c r="R106" s="250"/>
      <c r="S106" s="250"/>
      <c r="T106" s="250"/>
      <c r="U106" s="250"/>
      <c r="V106" s="310"/>
    </row>
    <row r="107" spans="1:22" x14ac:dyDescent="0.2">
      <c r="A107" s="74">
        <v>9.1999999999999993</v>
      </c>
      <c r="B107" s="99" t="s">
        <v>659</v>
      </c>
      <c r="C107" s="100" t="s">
        <v>41</v>
      </c>
      <c r="D107" s="100">
        <f>+CANTIDADES!H286</f>
        <v>192.75</v>
      </c>
      <c r="E107" s="13">
        <f>+'APU FORMATO'!F1433</f>
        <v>19795.781578000002</v>
      </c>
      <c r="F107" s="247">
        <f t="shared" si="6"/>
        <v>3815636.8991595004</v>
      </c>
      <c r="G107" s="250"/>
      <c r="H107" s="250"/>
      <c r="I107" s="250"/>
      <c r="J107" s="250"/>
      <c r="K107" s="250"/>
      <c r="L107" s="250"/>
      <c r="M107" s="250"/>
      <c r="N107" s="249"/>
      <c r="O107" s="249"/>
      <c r="P107" s="250"/>
      <c r="Q107" s="250"/>
      <c r="R107" s="250"/>
      <c r="S107" s="250"/>
      <c r="T107" s="250"/>
      <c r="U107" s="250"/>
      <c r="V107" s="310"/>
    </row>
    <row r="108" spans="1:22" x14ac:dyDescent="0.2">
      <c r="A108" s="70">
        <v>10</v>
      </c>
      <c r="B108" s="6" t="s">
        <v>26</v>
      </c>
      <c r="C108" s="7"/>
      <c r="D108" s="7"/>
      <c r="E108" s="7"/>
      <c r="F108" s="246"/>
      <c r="G108" s="250"/>
      <c r="H108" s="250"/>
      <c r="I108" s="250"/>
      <c r="J108" s="250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310"/>
    </row>
    <row r="109" spans="1:22" x14ac:dyDescent="0.2">
      <c r="A109" s="72">
        <v>10.1</v>
      </c>
      <c r="B109" s="99" t="s">
        <v>44</v>
      </c>
      <c r="C109" s="100" t="s">
        <v>34</v>
      </c>
      <c r="D109" s="100">
        <f>+CANTIDADES!H288</f>
        <v>709.91</v>
      </c>
      <c r="E109" s="13">
        <f>+'APU FORMATO'!F1455</f>
        <v>22914.154761999998</v>
      </c>
      <c r="F109" s="247">
        <f>E109*D109</f>
        <v>16266987.607091418</v>
      </c>
      <c r="G109" s="250"/>
      <c r="H109" s="250"/>
      <c r="I109" s="250"/>
      <c r="J109" s="250"/>
      <c r="K109" s="250"/>
      <c r="L109" s="250"/>
      <c r="M109" s="250"/>
      <c r="N109" s="250"/>
      <c r="O109" s="249"/>
      <c r="P109" s="250"/>
      <c r="Q109" s="250"/>
      <c r="R109" s="250"/>
      <c r="S109" s="250"/>
      <c r="T109" s="250"/>
      <c r="U109" s="250"/>
      <c r="V109" s="310"/>
    </row>
    <row r="110" spans="1:22" ht="25.5" x14ac:dyDescent="0.2">
      <c r="A110" s="72">
        <v>10.199999999999999</v>
      </c>
      <c r="B110" s="99" t="s">
        <v>53</v>
      </c>
      <c r="C110" s="100" t="s">
        <v>34</v>
      </c>
      <c r="D110" s="100">
        <f>+CANTIDADES!H293</f>
        <v>891.86999999999989</v>
      </c>
      <c r="E110" s="13">
        <f>+'APU FORMATO'!F1475</f>
        <v>75292.017699999997</v>
      </c>
      <c r="F110" s="247">
        <f t="shared" ref="F110:F111" si="7">E110*D110</f>
        <v>67150691.826098993</v>
      </c>
      <c r="G110" s="250"/>
      <c r="H110" s="250"/>
      <c r="I110" s="250"/>
      <c r="J110" s="250"/>
      <c r="K110" s="250"/>
      <c r="L110" s="250"/>
      <c r="M110" s="250"/>
      <c r="N110" s="250"/>
      <c r="O110" s="249"/>
      <c r="P110" s="249"/>
      <c r="Q110" s="249"/>
      <c r="R110" s="250"/>
      <c r="S110" s="250"/>
      <c r="T110" s="250"/>
      <c r="U110" s="250"/>
      <c r="V110" s="310"/>
    </row>
    <row r="111" spans="1:22" ht="25.5" x14ac:dyDescent="0.2">
      <c r="A111" s="72">
        <v>10.3</v>
      </c>
      <c r="B111" s="99" t="s">
        <v>376</v>
      </c>
      <c r="C111" s="100" t="s">
        <v>34</v>
      </c>
      <c r="D111" s="162">
        <f>+CANTIDADES!H297</f>
        <v>63.615925000000004</v>
      </c>
      <c r="E111" s="13">
        <f>+'APU FORMATO'!F1497</f>
        <v>57432.650750000001</v>
      </c>
      <c r="F111" s="247">
        <f t="shared" si="7"/>
        <v>3653631.2026631939</v>
      </c>
      <c r="G111" s="250"/>
      <c r="H111" s="250"/>
      <c r="I111" s="250"/>
      <c r="J111" s="250"/>
      <c r="K111" s="250"/>
      <c r="L111" s="250"/>
      <c r="M111" s="250"/>
      <c r="N111" s="250"/>
      <c r="O111" s="250"/>
      <c r="P111" s="249"/>
      <c r="Q111" s="250"/>
      <c r="R111" s="250"/>
      <c r="S111" s="250"/>
      <c r="T111" s="250"/>
      <c r="U111" s="250"/>
      <c r="V111" s="310"/>
    </row>
    <row r="112" spans="1:22" x14ac:dyDescent="0.2">
      <c r="A112" s="70">
        <v>11</v>
      </c>
      <c r="B112" s="6" t="s">
        <v>27</v>
      </c>
      <c r="C112" s="7"/>
      <c r="D112" s="7"/>
      <c r="E112" s="7"/>
      <c r="F112" s="246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310"/>
    </row>
    <row r="113" spans="1:22" x14ac:dyDescent="0.2">
      <c r="A113" s="72">
        <v>11.1</v>
      </c>
      <c r="B113" s="99" t="s">
        <v>32</v>
      </c>
      <c r="C113" s="100" t="s">
        <v>33</v>
      </c>
      <c r="D113" s="100">
        <f>+CANTIDADES!H299</f>
        <v>1</v>
      </c>
      <c r="E113" s="13">
        <f>+'APU FORMATO'!F1518</f>
        <v>347055.50949999999</v>
      </c>
      <c r="F113" s="247">
        <f>E113*D113</f>
        <v>347055.50949999999</v>
      </c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49"/>
      <c r="R113" s="250"/>
      <c r="S113" s="250"/>
      <c r="T113" s="250"/>
      <c r="U113" s="250"/>
      <c r="V113" s="310"/>
    </row>
    <row r="114" spans="1:22" x14ac:dyDescent="0.2">
      <c r="A114" s="72">
        <v>11.2</v>
      </c>
      <c r="B114" s="99" t="s">
        <v>35</v>
      </c>
      <c r="C114" s="100" t="s">
        <v>33</v>
      </c>
      <c r="D114" s="100">
        <f>+CANTIDADES!H302</f>
        <v>6</v>
      </c>
      <c r="E114" s="13">
        <f>+'APU FORMATO'!F1539</f>
        <v>622775.50950000004</v>
      </c>
      <c r="F114" s="247">
        <f t="shared" ref="F114:F121" si="8">E114*D114</f>
        <v>3736653.057</v>
      </c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49"/>
      <c r="R114" s="250"/>
      <c r="S114" s="250"/>
      <c r="T114" s="250"/>
      <c r="U114" s="250"/>
      <c r="V114" s="310"/>
    </row>
    <row r="115" spans="1:22" ht="25.5" x14ac:dyDescent="0.2">
      <c r="A115" s="72">
        <v>11.3</v>
      </c>
      <c r="B115" s="99" t="s">
        <v>36</v>
      </c>
      <c r="C115" s="100" t="s">
        <v>33</v>
      </c>
      <c r="D115" s="100">
        <f>+CANTIDADES!H305</f>
        <v>6</v>
      </c>
      <c r="E115" s="13">
        <f>+'APU FORMATO'!F1560</f>
        <v>184354.58949999997</v>
      </c>
      <c r="F115" s="247">
        <f t="shared" si="8"/>
        <v>1106127.5369999998</v>
      </c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49"/>
      <c r="R115" s="250"/>
      <c r="S115" s="250"/>
      <c r="T115" s="250"/>
      <c r="U115" s="250"/>
      <c r="V115" s="310"/>
    </row>
    <row r="116" spans="1:22" ht="25.5" x14ac:dyDescent="0.2">
      <c r="A116" s="72">
        <v>11.4</v>
      </c>
      <c r="B116" s="99" t="s">
        <v>37</v>
      </c>
      <c r="C116" s="100" t="s">
        <v>33</v>
      </c>
      <c r="D116" s="100">
        <f>+CANTIDADES!H306</f>
        <v>1</v>
      </c>
      <c r="E116" s="13">
        <f>+'APU FORMATO'!F1581</f>
        <v>110319.5095</v>
      </c>
      <c r="F116" s="247">
        <f t="shared" si="8"/>
        <v>110319.5095</v>
      </c>
      <c r="G116" s="250"/>
      <c r="H116" s="250"/>
      <c r="I116" s="250"/>
      <c r="J116" s="250"/>
      <c r="K116" s="250"/>
      <c r="L116" s="250"/>
      <c r="M116" s="250"/>
      <c r="N116" s="250"/>
      <c r="O116" s="250"/>
      <c r="P116" s="250"/>
      <c r="Q116" s="249"/>
      <c r="R116" s="250"/>
      <c r="S116" s="250"/>
      <c r="T116" s="250"/>
      <c r="U116" s="250"/>
      <c r="V116" s="310"/>
    </row>
    <row r="117" spans="1:22" ht="25.5" x14ac:dyDescent="0.2">
      <c r="A117" s="72">
        <v>11.5</v>
      </c>
      <c r="B117" s="99" t="s">
        <v>38</v>
      </c>
      <c r="C117" s="100" t="s">
        <v>33</v>
      </c>
      <c r="D117" s="100">
        <f>+CANTIDADES!H309</f>
        <v>2</v>
      </c>
      <c r="E117" s="13">
        <f>+'APU FORMATO'!F1602</f>
        <v>149819.50949999999</v>
      </c>
      <c r="F117" s="247">
        <f t="shared" si="8"/>
        <v>299639.01899999997</v>
      </c>
      <c r="G117" s="250"/>
      <c r="H117" s="250"/>
      <c r="I117" s="250"/>
      <c r="J117" s="250"/>
      <c r="K117" s="250"/>
      <c r="L117" s="250"/>
      <c r="M117" s="250"/>
      <c r="N117" s="250"/>
      <c r="O117" s="250"/>
      <c r="P117" s="250"/>
      <c r="Q117" s="249"/>
      <c r="R117" s="250"/>
      <c r="S117" s="250"/>
      <c r="T117" s="250"/>
      <c r="U117" s="250"/>
      <c r="V117" s="310"/>
    </row>
    <row r="118" spans="1:22" ht="25.5" x14ac:dyDescent="0.2">
      <c r="A118" s="72">
        <v>11.6</v>
      </c>
      <c r="B118" s="99" t="s">
        <v>39</v>
      </c>
      <c r="C118" s="100" t="s">
        <v>33</v>
      </c>
      <c r="D118" s="100">
        <f>+CANTIDADES!H310</f>
        <v>3</v>
      </c>
      <c r="E118" s="13">
        <f>+'APU FORMATO'!F1623</f>
        <v>332907.50949999999</v>
      </c>
      <c r="F118" s="247">
        <f t="shared" si="8"/>
        <v>998722.52850000001</v>
      </c>
      <c r="G118" s="250"/>
      <c r="H118" s="250"/>
      <c r="I118" s="250"/>
      <c r="J118" s="250"/>
      <c r="K118" s="250"/>
      <c r="L118" s="250"/>
      <c r="M118" s="250"/>
      <c r="N118" s="250"/>
      <c r="O118" s="250"/>
      <c r="P118" s="250"/>
      <c r="Q118" s="249"/>
      <c r="R118" s="250"/>
      <c r="S118" s="250"/>
      <c r="T118" s="250"/>
      <c r="U118" s="250"/>
      <c r="V118" s="310"/>
    </row>
    <row r="119" spans="1:22" x14ac:dyDescent="0.2">
      <c r="A119" s="72">
        <v>11.7</v>
      </c>
      <c r="B119" s="99" t="s">
        <v>40</v>
      </c>
      <c r="C119" s="100" t="s">
        <v>33</v>
      </c>
      <c r="D119" s="100">
        <f>+CANTIDADES!H313</f>
        <v>2</v>
      </c>
      <c r="E119" s="13">
        <f>+'APU FORMATO'!F1643</f>
        <v>81243.072500000009</v>
      </c>
      <c r="F119" s="247">
        <f t="shared" si="8"/>
        <v>162486.14500000002</v>
      </c>
      <c r="G119" s="250"/>
      <c r="H119" s="250"/>
      <c r="I119" s="250"/>
      <c r="J119" s="250"/>
      <c r="K119" s="250"/>
      <c r="L119" s="250"/>
      <c r="M119" s="250"/>
      <c r="N119" s="250"/>
      <c r="O119" s="250"/>
      <c r="P119" s="250"/>
      <c r="Q119" s="249"/>
      <c r="R119" s="250"/>
      <c r="S119" s="250"/>
      <c r="T119" s="250"/>
      <c r="U119" s="250"/>
      <c r="V119" s="310"/>
    </row>
    <row r="120" spans="1:22" x14ac:dyDescent="0.2">
      <c r="A120" s="72">
        <v>11.8</v>
      </c>
      <c r="B120" s="99" t="s">
        <v>651</v>
      </c>
      <c r="C120" s="100" t="s">
        <v>34</v>
      </c>
      <c r="D120" s="100">
        <f>+CANTIDADES!H319</f>
        <v>6.96</v>
      </c>
      <c r="E120" s="13">
        <f>+'APU FORMATO'!F1666</f>
        <v>75022.872499999998</v>
      </c>
      <c r="F120" s="247">
        <f t="shared" si="8"/>
        <v>522159.19260000001</v>
      </c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49"/>
      <c r="R120" s="250"/>
      <c r="S120" s="250"/>
      <c r="T120" s="250"/>
      <c r="U120" s="250"/>
      <c r="V120" s="310"/>
    </row>
    <row r="121" spans="1:22" ht="51" x14ac:dyDescent="0.2">
      <c r="A121" s="72">
        <v>11.9</v>
      </c>
      <c r="B121" s="99" t="s">
        <v>517</v>
      </c>
      <c r="C121" s="100" t="s">
        <v>33</v>
      </c>
      <c r="D121" s="100">
        <f>+CANTIDADES!H320</f>
        <v>1</v>
      </c>
      <c r="E121" s="13">
        <f>+'APU FORMATO'!F1690</f>
        <v>5684939.2637499999</v>
      </c>
      <c r="F121" s="247">
        <f t="shared" si="8"/>
        <v>5684939.2637499999</v>
      </c>
      <c r="G121" s="250"/>
      <c r="H121" s="250"/>
      <c r="I121" s="250"/>
      <c r="J121" s="250"/>
      <c r="K121" s="250"/>
      <c r="L121" s="250"/>
      <c r="M121" s="250"/>
      <c r="N121" s="250"/>
      <c r="O121" s="250"/>
      <c r="P121" s="250"/>
      <c r="Q121" s="250"/>
      <c r="R121" s="250"/>
      <c r="S121" s="249"/>
      <c r="T121" s="250"/>
      <c r="U121" s="250"/>
      <c r="V121" s="310"/>
    </row>
    <row r="122" spans="1:22" x14ac:dyDescent="0.2">
      <c r="A122" s="70">
        <v>12</v>
      </c>
      <c r="B122" s="6" t="s">
        <v>50</v>
      </c>
      <c r="C122" s="7"/>
      <c r="D122" s="7"/>
      <c r="E122" s="7"/>
      <c r="F122" s="246"/>
      <c r="G122" s="250"/>
      <c r="H122" s="250"/>
      <c r="I122" s="250"/>
      <c r="J122" s="250"/>
      <c r="K122" s="250"/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310"/>
    </row>
    <row r="123" spans="1:22" ht="25.5" x14ac:dyDescent="0.2">
      <c r="A123" s="72">
        <v>12.1</v>
      </c>
      <c r="B123" s="99" t="s">
        <v>542</v>
      </c>
      <c r="C123" s="100" t="s">
        <v>33</v>
      </c>
      <c r="D123" s="100">
        <f>+CANTIDADES!H328</f>
        <v>20.399999999999999</v>
      </c>
      <c r="E123" s="13">
        <f>+'APU FORMATO'!F1716</f>
        <v>249884.10165000003</v>
      </c>
      <c r="F123" s="247">
        <f>E123*D123</f>
        <v>5097635.6736599999</v>
      </c>
      <c r="G123" s="250"/>
      <c r="H123" s="250"/>
      <c r="I123" s="250"/>
      <c r="J123" s="250"/>
      <c r="K123" s="250"/>
      <c r="L123" s="250"/>
      <c r="M123" s="250"/>
      <c r="N123" s="250"/>
      <c r="O123" s="250"/>
      <c r="P123" s="249"/>
      <c r="Q123" s="250"/>
      <c r="R123" s="250"/>
      <c r="S123" s="250"/>
      <c r="T123" s="250"/>
      <c r="U123" s="250"/>
      <c r="V123" s="310"/>
    </row>
    <row r="124" spans="1:22" ht="25.5" x14ac:dyDescent="0.2">
      <c r="A124" s="72">
        <v>12.2</v>
      </c>
      <c r="B124" s="99" t="s">
        <v>443</v>
      </c>
      <c r="C124" s="100" t="s">
        <v>34</v>
      </c>
      <c r="D124" s="100">
        <f>+CANTIDADES!H355</f>
        <v>9.6000000000000014</v>
      </c>
      <c r="E124" s="13">
        <f>+'APU FORMATO'!F1739</f>
        <v>124549.18635</v>
      </c>
      <c r="F124" s="247">
        <f t="shared" ref="F124" si="9">E124*D124</f>
        <v>1195672.1889600002</v>
      </c>
      <c r="G124" s="250"/>
      <c r="H124" s="250"/>
      <c r="I124" s="250"/>
      <c r="J124" s="250"/>
      <c r="K124" s="250"/>
      <c r="L124" s="250"/>
      <c r="M124" s="250"/>
      <c r="N124" s="250"/>
      <c r="O124" s="250"/>
      <c r="P124" s="249"/>
      <c r="Q124" s="250"/>
      <c r="R124" s="250"/>
      <c r="S124" s="250"/>
      <c r="T124" s="250"/>
      <c r="U124" s="250"/>
      <c r="V124" s="310"/>
    </row>
    <row r="125" spans="1:22" x14ac:dyDescent="0.2">
      <c r="A125" s="70">
        <v>13</v>
      </c>
      <c r="B125" s="6" t="s">
        <v>51</v>
      </c>
      <c r="C125" s="7"/>
      <c r="D125" s="7"/>
      <c r="E125" s="7"/>
      <c r="F125" s="246"/>
      <c r="G125" s="250"/>
      <c r="H125" s="250"/>
      <c r="I125" s="250"/>
      <c r="J125" s="250"/>
      <c r="K125" s="250"/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310"/>
    </row>
    <row r="126" spans="1:22" ht="24.75" customHeight="1" x14ac:dyDescent="0.2">
      <c r="A126" s="72">
        <v>13.1</v>
      </c>
      <c r="B126" s="99" t="s">
        <v>221</v>
      </c>
      <c r="C126" s="100" t="s">
        <v>34</v>
      </c>
      <c r="D126" s="162">
        <f>+CANTIDADES!H333</f>
        <v>143.49520000000001</v>
      </c>
      <c r="E126" s="13">
        <f>+'APU FORMATO'!F1793</f>
        <v>58845.39875</v>
      </c>
      <c r="F126" s="247">
        <f>E126*D126</f>
        <v>8444032.2627110016</v>
      </c>
      <c r="G126" s="250"/>
      <c r="H126" s="250"/>
      <c r="I126" s="250"/>
      <c r="J126" s="250"/>
      <c r="K126" s="250"/>
      <c r="L126" s="250"/>
      <c r="M126" s="250"/>
      <c r="N126" s="250"/>
      <c r="O126" s="249"/>
      <c r="P126" s="250"/>
      <c r="Q126" s="250"/>
      <c r="R126" s="250"/>
      <c r="S126" s="250"/>
      <c r="T126" s="250"/>
      <c r="U126" s="250"/>
      <c r="V126" s="310"/>
    </row>
    <row r="127" spans="1:22" x14ac:dyDescent="0.2">
      <c r="A127" s="72">
        <v>13.2</v>
      </c>
      <c r="B127" s="99" t="s">
        <v>225</v>
      </c>
      <c r="C127" s="100" t="s">
        <v>34</v>
      </c>
      <c r="D127" s="100">
        <f>+CANTIDADES!H336</f>
        <v>76.2</v>
      </c>
      <c r="E127" s="13">
        <f>+'APU FORMATO'!F1816</f>
        <v>16642.446250000001</v>
      </c>
      <c r="F127" s="247">
        <f>E127*D127</f>
        <v>1268154.4042500001</v>
      </c>
      <c r="G127" s="250"/>
      <c r="H127" s="250"/>
      <c r="I127" s="250"/>
      <c r="J127" s="250"/>
      <c r="K127" s="250"/>
      <c r="L127" s="250"/>
      <c r="M127" s="250"/>
      <c r="N127" s="250"/>
      <c r="O127" s="249"/>
      <c r="P127" s="250"/>
      <c r="Q127" s="250"/>
      <c r="R127" s="250"/>
      <c r="S127" s="250"/>
      <c r="T127" s="250"/>
      <c r="U127" s="250"/>
      <c r="V127" s="310"/>
    </row>
    <row r="128" spans="1:22" x14ac:dyDescent="0.2">
      <c r="A128" s="70">
        <v>14</v>
      </c>
      <c r="B128" s="6" t="s">
        <v>28</v>
      </c>
      <c r="C128" s="7"/>
      <c r="D128" s="7"/>
      <c r="E128" s="7"/>
      <c r="F128" s="246"/>
      <c r="G128" s="250"/>
      <c r="H128" s="250"/>
      <c r="I128" s="250"/>
      <c r="J128" s="250"/>
      <c r="K128" s="250"/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310"/>
    </row>
    <row r="129" spans="1:22" ht="76.5" x14ac:dyDescent="0.2">
      <c r="A129" s="72">
        <v>14.1</v>
      </c>
      <c r="B129" s="99" t="s">
        <v>524</v>
      </c>
      <c r="C129" s="100" t="s">
        <v>34</v>
      </c>
      <c r="D129" s="100">
        <f>+CANTIDADES!H342</f>
        <v>40.319999999999993</v>
      </c>
      <c r="E129" s="13">
        <f>+'APU FORMATO'!F1839</f>
        <v>804861.29145999998</v>
      </c>
      <c r="F129" s="247">
        <f>E129*D129</f>
        <v>32452007.271667194</v>
      </c>
      <c r="G129" s="250"/>
      <c r="H129" s="250"/>
      <c r="I129" s="250"/>
      <c r="J129" s="250"/>
      <c r="K129" s="250"/>
      <c r="L129" s="250"/>
      <c r="M129" s="250"/>
      <c r="N129" s="250"/>
      <c r="O129" s="251"/>
      <c r="P129" s="249"/>
      <c r="Q129" s="250"/>
      <c r="R129" s="250"/>
      <c r="S129" s="250"/>
      <c r="T129" s="250"/>
      <c r="U129" s="250"/>
      <c r="V129" s="310"/>
    </row>
    <row r="130" spans="1:22" ht="38.25" x14ac:dyDescent="0.2">
      <c r="A130" s="72">
        <v>14.2</v>
      </c>
      <c r="B130" s="99" t="s">
        <v>528</v>
      </c>
      <c r="C130" s="100" t="s">
        <v>34</v>
      </c>
      <c r="D130" s="162">
        <f>+CANTIDADES!H343</f>
        <v>1.3248</v>
      </c>
      <c r="E130" s="13">
        <f>+'APU FORMATO'!F1861</f>
        <v>227213.16050000003</v>
      </c>
      <c r="F130" s="247">
        <f>E130*D130</f>
        <v>301011.99503040005</v>
      </c>
      <c r="G130" s="250"/>
      <c r="H130" s="250"/>
      <c r="I130" s="250"/>
      <c r="J130" s="250"/>
      <c r="K130" s="250"/>
      <c r="L130" s="250"/>
      <c r="M130" s="250"/>
      <c r="N130" s="250"/>
      <c r="O130" s="251"/>
      <c r="P130" s="249"/>
      <c r="Q130" s="250"/>
      <c r="R130" s="250"/>
      <c r="S130" s="250"/>
      <c r="T130" s="250"/>
      <c r="U130" s="250"/>
      <c r="V130" s="310"/>
    </row>
    <row r="131" spans="1:22" x14ac:dyDescent="0.2">
      <c r="A131" s="72">
        <v>14.3</v>
      </c>
      <c r="B131" s="99" t="s">
        <v>54</v>
      </c>
      <c r="C131" s="100" t="s">
        <v>55</v>
      </c>
      <c r="D131" s="100">
        <f>+CANTIDADES!H346</f>
        <v>2</v>
      </c>
      <c r="E131" s="13">
        <f>+'APU FORMATO'!F1891</f>
        <v>92577.943150000006</v>
      </c>
      <c r="F131" s="247">
        <f t="shared" ref="F131:F137" si="10">E131*D131</f>
        <v>185155.88630000001</v>
      </c>
      <c r="G131" s="250"/>
      <c r="H131" s="250"/>
      <c r="I131" s="250"/>
      <c r="J131" s="250"/>
      <c r="K131" s="250"/>
      <c r="L131" s="250"/>
      <c r="M131" s="250"/>
      <c r="N131" s="250"/>
      <c r="O131" s="250"/>
      <c r="P131" s="249"/>
      <c r="Q131" s="250"/>
      <c r="R131" s="250"/>
      <c r="S131" s="250"/>
      <c r="T131" s="250"/>
      <c r="U131" s="250"/>
      <c r="V131" s="310"/>
    </row>
    <row r="132" spans="1:22" x14ac:dyDescent="0.2">
      <c r="A132" s="72">
        <v>14.4</v>
      </c>
      <c r="B132" s="99" t="s">
        <v>64</v>
      </c>
      <c r="C132" s="100" t="s">
        <v>41</v>
      </c>
      <c r="D132" s="100">
        <f>+CANTIDADES!H347</f>
        <v>70.55</v>
      </c>
      <c r="E132" s="13">
        <f>+'APU FORMATO'!F1914</f>
        <v>131690.64915000001</v>
      </c>
      <c r="F132" s="247">
        <f t="shared" si="10"/>
        <v>9290775.2975325007</v>
      </c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49"/>
      <c r="R132" s="249"/>
      <c r="S132" s="250"/>
      <c r="T132" s="250"/>
      <c r="U132" s="250"/>
      <c r="V132" s="310"/>
    </row>
    <row r="133" spans="1:22" ht="25.5" x14ac:dyDescent="0.2">
      <c r="A133" s="72">
        <v>14.5</v>
      </c>
      <c r="B133" s="99" t="s">
        <v>61</v>
      </c>
      <c r="C133" s="100" t="s">
        <v>41</v>
      </c>
      <c r="D133" s="100">
        <f>+CANTIDADES!H353</f>
        <v>43.5</v>
      </c>
      <c r="E133" s="13">
        <f>+'APU FORMATO'!F1935</f>
        <v>48648.86677500001</v>
      </c>
      <c r="F133" s="247">
        <f t="shared" si="10"/>
        <v>2116225.7047125003</v>
      </c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49"/>
      <c r="S133" s="250"/>
      <c r="T133" s="250"/>
      <c r="U133" s="250"/>
      <c r="V133" s="310"/>
    </row>
    <row r="134" spans="1:22" ht="51" x14ac:dyDescent="0.2">
      <c r="A134" s="72">
        <v>14.6</v>
      </c>
      <c r="B134" s="99" t="s">
        <v>230</v>
      </c>
      <c r="C134" s="100" t="s">
        <v>33</v>
      </c>
      <c r="D134" s="100">
        <f>+CANTIDADES!H354</f>
        <v>25.799999999999997</v>
      </c>
      <c r="E134" s="13">
        <f>+'APU FORMATO'!F1958</f>
        <v>124549.18635</v>
      </c>
      <c r="F134" s="247">
        <f t="shared" si="10"/>
        <v>3213369.0078299996</v>
      </c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49"/>
      <c r="S134" s="250"/>
      <c r="T134" s="250"/>
      <c r="U134" s="250"/>
      <c r="V134" s="310"/>
    </row>
    <row r="135" spans="1:22" x14ac:dyDescent="0.2">
      <c r="A135" s="72">
        <v>14.7</v>
      </c>
      <c r="B135" s="99" t="s">
        <v>330</v>
      </c>
      <c r="C135" s="100" t="s">
        <v>41</v>
      </c>
      <c r="D135" s="100">
        <f>+CANTIDADES!H356</f>
        <v>68</v>
      </c>
      <c r="E135" s="13">
        <f>+'APU FORMATO'!F1982</f>
        <v>68499.296520000004</v>
      </c>
      <c r="F135" s="247">
        <f t="shared" si="10"/>
        <v>4657952.1633600006</v>
      </c>
      <c r="G135" s="250"/>
      <c r="H135" s="250"/>
      <c r="I135" s="250"/>
      <c r="J135" s="250"/>
      <c r="K135" s="250"/>
      <c r="L135" s="250"/>
      <c r="M135" s="250"/>
      <c r="N135" s="250"/>
      <c r="O135" s="250"/>
      <c r="P135" s="250"/>
      <c r="Q135" s="250"/>
      <c r="R135" s="250"/>
      <c r="S135" s="249"/>
      <c r="T135" s="250"/>
      <c r="U135" s="250"/>
      <c r="V135" s="310"/>
    </row>
    <row r="136" spans="1:22" ht="25.5" x14ac:dyDescent="0.2">
      <c r="A136" s="72">
        <v>14.8</v>
      </c>
      <c r="B136" s="99" t="s">
        <v>370</v>
      </c>
      <c r="C136" s="100" t="s">
        <v>34</v>
      </c>
      <c r="D136" s="100">
        <f>+CANTIDADES!H360</f>
        <v>9.8999999999999986</v>
      </c>
      <c r="E136" s="13">
        <f>+'APU FORMATO'!F2010</f>
        <v>183308.44704999999</v>
      </c>
      <c r="F136" s="247">
        <f t="shared" si="10"/>
        <v>1814753.6257949995</v>
      </c>
      <c r="G136" s="250"/>
      <c r="H136" s="250"/>
      <c r="I136" s="250"/>
      <c r="J136" s="250"/>
      <c r="K136" s="250"/>
      <c r="L136" s="250"/>
      <c r="M136" s="250"/>
      <c r="N136" s="250"/>
      <c r="O136" s="250"/>
      <c r="P136" s="250"/>
      <c r="Q136" s="250"/>
      <c r="R136" s="249"/>
      <c r="S136" s="250"/>
      <c r="T136" s="250"/>
      <c r="U136" s="250"/>
      <c r="V136" s="310"/>
    </row>
    <row r="137" spans="1:22" x14ac:dyDescent="0.2">
      <c r="A137" s="72">
        <v>14.9</v>
      </c>
      <c r="B137" s="99" t="s">
        <v>398</v>
      </c>
      <c r="C137" s="100" t="s">
        <v>33</v>
      </c>
      <c r="D137" s="100">
        <f>+CANTIDADES!H363</f>
        <v>2</v>
      </c>
      <c r="E137" s="13">
        <f>+'APU FORMATO'!F2031</f>
        <v>533535.87625000009</v>
      </c>
      <c r="F137" s="247">
        <f t="shared" si="10"/>
        <v>1067071.7525000002</v>
      </c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  <c r="Q137" s="250"/>
      <c r="R137" s="249"/>
      <c r="S137" s="250"/>
      <c r="T137" s="250"/>
      <c r="U137" s="250"/>
      <c r="V137" s="310"/>
    </row>
    <row r="138" spans="1:22" x14ac:dyDescent="0.2">
      <c r="A138" s="70">
        <v>15</v>
      </c>
      <c r="B138" s="6" t="s">
        <v>29</v>
      </c>
      <c r="C138" s="7"/>
      <c r="D138" s="7"/>
      <c r="E138" s="7"/>
      <c r="F138" s="246"/>
      <c r="G138" s="250"/>
      <c r="H138" s="250"/>
      <c r="I138" s="250"/>
      <c r="J138" s="250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310"/>
    </row>
    <row r="139" spans="1:22" ht="25.5" x14ac:dyDescent="0.2">
      <c r="A139" s="72">
        <v>15.1</v>
      </c>
      <c r="B139" s="99" t="s">
        <v>56</v>
      </c>
      <c r="C139" s="100" t="s">
        <v>41</v>
      </c>
      <c r="D139" s="100">
        <f>+CANTIDADES!H365</f>
        <v>729.71</v>
      </c>
      <c r="E139" s="13">
        <f>+'APU FORMATO'!F2051</f>
        <v>3461.8032499999999</v>
      </c>
      <c r="F139" s="247">
        <f>E139*D139</f>
        <v>2526112.4495575</v>
      </c>
      <c r="G139" s="250"/>
      <c r="H139" s="250"/>
      <c r="I139" s="250"/>
      <c r="J139" s="250"/>
      <c r="K139" s="250"/>
      <c r="L139" s="250"/>
      <c r="M139" s="250"/>
      <c r="N139" s="250"/>
      <c r="O139" s="250"/>
      <c r="P139" s="250"/>
      <c r="Q139" s="250"/>
      <c r="R139" s="250"/>
      <c r="S139" s="249"/>
      <c r="T139" s="250"/>
      <c r="U139" s="250"/>
      <c r="V139" s="310"/>
    </row>
    <row r="140" spans="1:22" x14ac:dyDescent="0.2">
      <c r="A140" s="70">
        <v>16</v>
      </c>
      <c r="B140" s="6" t="s">
        <v>30</v>
      </c>
      <c r="C140" s="7"/>
      <c r="D140" s="7"/>
      <c r="E140" s="7"/>
      <c r="F140" s="246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310"/>
    </row>
    <row r="141" spans="1:22" ht="51" x14ac:dyDescent="0.2">
      <c r="A141" s="72">
        <v>16.100000000000001</v>
      </c>
      <c r="B141" s="99" t="s">
        <v>231</v>
      </c>
      <c r="C141" s="100" t="s">
        <v>55</v>
      </c>
      <c r="D141" s="100">
        <f>+CANTIDADES!H367</f>
        <v>2</v>
      </c>
      <c r="E141" s="13">
        <f>+'APU FORMATO'!F2079</f>
        <v>2248831.21875</v>
      </c>
      <c r="F141" s="247">
        <f>E141*D141</f>
        <v>4497662.4375</v>
      </c>
      <c r="G141" s="250"/>
      <c r="H141" s="250"/>
      <c r="I141" s="250"/>
      <c r="J141" s="250"/>
      <c r="K141" s="250"/>
      <c r="L141" s="250"/>
      <c r="M141" s="250"/>
      <c r="N141" s="250"/>
      <c r="O141" s="250"/>
      <c r="P141" s="250"/>
      <c r="Q141" s="250"/>
      <c r="R141" s="250"/>
      <c r="S141" s="249"/>
      <c r="T141" s="250"/>
      <c r="U141" s="250"/>
      <c r="V141" s="310"/>
    </row>
    <row r="142" spans="1:22" x14ac:dyDescent="0.2">
      <c r="A142" s="70">
        <v>17</v>
      </c>
      <c r="B142" s="6" t="s">
        <v>31</v>
      </c>
      <c r="C142" s="7"/>
      <c r="D142" s="7"/>
      <c r="E142" s="7"/>
      <c r="F142" s="246"/>
      <c r="G142" s="250"/>
      <c r="H142" s="250"/>
      <c r="I142" s="250"/>
      <c r="J142" s="250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310"/>
    </row>
    <row r="143" spans="1:22" ht="13.5" thickBot="1" x14ac:dyDescent="0.25">
      <c r="A143" s="61">
        <v>17.100000000000001</v>
      </c>
      <c r="B143" s="62" t="s">
        <v>62</v>
      </c>
      <c r="C143" s="63" t="s">
        <v>34</v>
      </c>
      <c r="D143" s="63">
        <f>+CANTIDADES!H370</f>
        <v>1600</v>
      </c>
      <c r="E143" s="311">
        <f>+'APU FORMATO'!F2097</f>
        <v>975.10000000000014</v>
      </c>
      <c r="F143" s="312">
        <f>E143*D143</f>
        <v>1560160.0000000002</v>
      </c>
      <c r="G143" s="313"/>
      <c r="H143" s="313"/>
      <c r="I143" s="313"/>
      <c r="J143" s="313"/>
      <c r="K143" s="313"/>
      <c r="L143" s="313"/>
      <c r="M143" s="313"/>
      <c r="N143" s="313"/>
      <c r="O143" s="313"/>
      <c r="P143" s="313"/>
      <c r="Q143" s="313"/>
      <c r="R143" s="313"/>
      <c r="S143" s="314"/>
      <c r="T143" s="315"/>
      <c r="U143" s="315"/>
      <c r="V143" s="316"/>
    </row>
    <row r="144" spans="1:22" ht="15" hidden="1" customHeight="1" x14ac:dyDescent="0.2">
      <c r="A144" s="253"/>
      <c r="B144" s="254"/>
      <c r="C144" s="255"/>
      <c r="D144" s="676" t="s">
        <v>363</v>
      </c>
      <c r="E144" s="677"/>
      <c r="F144" s="309" t="e">
        <f>SUM(F7:F143)</f>
        <v>#REF!</v>
      </c>
    </row>
    <row r="145" spans="1:6" hidden="1" x14ac:dyDescent="0.2">
      <c r="A145" s="60"/>
      <c r="B145" s="97"/>
      <c r="C145" s="98"/>
      <c r="D145" s="550" t="s">
        <v>695</v>
      </c>
      <c r="E145" s="550"/>
      <c r="F145" s="78" t="e">
        <f>F144*19%</f>
        <v>#REF!</v>
      </c>
    </row>
    <row r="146" spans="1:6" hidden="1" x14ac:dyDescent="0.2">
      <c r="A146" s="60"/>
      <c r="B146" s="97"/>
      <c r="C146" s="98"/>
      <c r="D146" s="550" t="s">
        <v>553</v>
      </c>
      <c r="E146" s="550"/>
      <c r="F146" s="78" t="e">
        <f>F144*3%</f>
        <v>#REF!</v>
      </c>
    </row>
    <row r="147" spans="1:6" hidden="1" x14ac:dyDescent="0.2">
      <c r="A147" s="60"/>
      <c r="B147" s="97"/>
      <c r="C147" s="98"/>
      <c r="D147" s="550" t="s">
        <v>694</v>
      </c>
      <c r="E147" s="550"/>
      <c r="F147" s="78" t="e">
        <f>F144*8%</f>
        <v>#REF!</v>
      </c>
    </row>
    <row r="148" spans="1:6" hidden="1" x14ac:dyDescent="0.2">
      <c r="A148" s="76"/>
      <c r="B148" s="57"/>
      <c r="C148" s="58"/>
      <c r="D148" s="678" t="s">
        <v>552</v>
      </c>
      <c r="E148" s="679"/>
      <c r="F148" s="130" t="e">
        <f>+F147*0.19</f>
        <v>#REF!</v>
      </c>
    </row>
    <row r="149" spans="1:6" ht="15.75" hidden="1" customHeight="1" thickBot="1" x14ac:dyDescent="0.25">
      <c r="A149" s="61"/>
      <c r="B149" s="62"/>
      <c r="C149" s="63"/>
      <c r="D149" s="674" t="s">
        <v>364</v>
      </c>
      <c r="E149" s="675"/>
      <c r="F149" s="79" t="e">
        <f>SUM(F144:F148)</f>
        <v>#REF!</v>
      </c>
    </row>
  </sheetData>
  <mergeCells count="16">
    <mergeCell ref="D149:E149"/>
    <mergeCell ref="D144:E144"/>
    <mergeCell ref="D145:E145"/>
    <mergeCell ref="D146:E146"/>
    <mergeCell ref="D147:E147"/>
    <mergeCell ref="D148:E148"/>
    <mergeCell ref="G6:J6"/>
    <mergeCell ref="K6:N6"/>
    <mergeCell ref="O6:R6"/>
    <mergeCell ref="S6:V6"/>
    <mergeCell ref="G7:V7"/>
    <mergeCell ref="A5:V5"/>
    <mergeCell ref="A1:V1"/>
    <mergeCell ref="A2:V2"/>
    <mergeCell ref="A3:V3"/>
    <mergeCell ref="A4:V4"/>
  </mergeCells>
  <pageMargins left="0.70866141732283472" right="0.70866141732283472" top="0.74803149606299213" bottom="0.74803149606299213" header="0.31496062992125984" footer="0.31496062992125984"/>
  <pageSetup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Hoja1 (5)</vt:lpstr>
      <vt:lpstr>PRESUPUESTO RESUMEN</vt:lpstr>
      <vt:lpstr>AIU</vt:lpstr>
      <vt:lpstr>INTERVENTORIA</vt:lpstr>
      <vt:lpstr>APU FORMATO</vt:lpstr>
      <vt:lpstr>LISTADO DE MATERIALES</vt:lpstr>
      <vt:lpstr>CANTIDADES</vt:lpstr>
      <vt:lpstr>CRONOGRAMA</vt:lpstr>
      <vt:lpstr>AIU!Área_de_impresión</vt:lpstr>
      <vt:lpstr>'APU FORMATO'!Área_de_impresión</vt:lpstr>
      <vt:lpstr>INTERVENTORIA!Área_de_impresión</vt:lpstr>
      <vt:lpstr>'LISTADO DE MATERIALES'!Área_de_impresión</vt:lpstr>
      <vt:lpstr>'PRESUPUESTO RESUMEN'!Área_de_impresión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AIC</dc:creator>
  <cp:lastModifiedBy>ANDRES</cp:lastModifiedBy>
  <cp:lastPrinted>2019-10-17T17:08:22Z</cp:lastPrinted>
  <dcterms:created xsi:type="dcterms:W3CDTF">2017-10-31T19:42:29Z</dcterms:created>
  <dcterms:modified xsi:type="dcterms:W3CDTF">2024-05-04T01:38:42Z</dcterms:modified>
</cp:coreProperties>
</file>