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toragefs\Documentos\compartidas\juridico\Autos Juridico\JURIDICO 2025\LIQUIDACIONES pamc 2025\"/>
    </mc:Choice>
  </mc:AlternateContent>
  <bookViews>
    <workbookView xWindow="-110" yWindow="-110" windowWidth="23260" windowHeight="12460" firstSheet="1" activeTab="1"/>
  </bookViews>
  <sheets>
    <sheet name="Hoja liquidador muerte" sheetId="2" state="hidden" r:id="rId1"/>
    <sheet name="hoja liquidaciones lesiones" sheetId="1" r:id="rId2"/>
    <sheet name="daño moral (CSJ)" sheetId="4" r:id="rId3"/>
    <sheet name="GRUPOS" sheetId="3" state="hidden" r:id="rId4"/>
  </sheets>
  <definedNames>
    <definedName name="_xlnm.Print_Area" localSheetId="1">'hoja liquidaciones lesiones'!$C$3:$O$41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B6" i="4" l="1"/>
  <c r="K12" i="4" l="1"/>
  <c r="G12" i="4"/>
  <c r="C9" i="4"/>
  <c r="C8" i="4"/>
  <c r="J6" i="4"/>
  <c r="J8" i="4" s="1"/>
  <c r="J12" i="4" s="1"/>
  <c r="J15" i="4" s="1"/>
  <c r="F6" i="4"/>
  <c r="F8" i="4" s="1"/>
  <c r="F12" i="4" s="1"/>
  <c r="F15" i="4" s="1"/>
  <c r="B12" i="4"/>
  <c r="C12" i="4" l="1"/>
  <c r="B15" i="4" s="1"/>
  <c r="C17" i="4" s="1"/>
  <c r="K21" i="1" s="1"/>
  <c r="M21" i="1" s="1"/>
  <c r="B8" i="4"/>
  <c r="O21" i="1" l="1"/>
  <c r="O22" i="1"/>
  <c r="F19" i="4"/>
  <c r="AD16" i="1"/>
  <c r="F25" i="4" l="1"/>
  <c r="C21" i="1"/>
  <c r="E8" i="3" l="1"/>
  <c r="E12" i="3" s="1"/>
  <c r="D12" i="3"/>
  <c r="D19" i="3"/>
  <c r="D21" i="3" s="1"/>
  <c r="E19" i="3"/>
  <c r="E21" i="3" l="1"/>
  <c r="AC16" i="1"/>
  <c r="AD40" i="1" l="1"/>
  <c r="AB39" i="1" s="1"/>
  <c r="AD42" i="1"/>
  <c r="AC42" i="1" s="1"/>
  <c r="AD41" i="1"/>
  <c r="AC41" i="1" s="1"/>
  <c r="AA40" i="1" l="1"/>
  <c r="CC47" i="2"/>
  <c r="CD47" i="2" s="1"/>
  <c r="CG47" i="2"/>
  <c r="CH47" i="2" s="1"/>
  <c r="CC48" i="2"/>
  <c r="CD48" i="2" s="1"/>
  <c r="CG48" i="2"/>
  <c r="CH48" i="2" s="1"/>
  <c r="AB49" i="2"/>
  <c r="CC49" i="2"/>
  <c r="CD49" i="2"/>
  <c r="CG49" i="2"/>
  <c r="CH49" i="2" s="1"/>
  <c r="CC50" i="2"/>
  <c r="CD50" i="2" s="1"/>
  <c r="CG50" i="2"/>
  <c r="CH50" i="2" s="1"/>
  <c r="CC51" i="2"/>
  <c r="CD51" i="2" s="1"/>
  <c r="CG51" i="2"/>
  <c r="CH51" i="2" s="1"/>
  <c r="CC52" i="2"/>
  <c r="CD52" i="2"/>
  <c r="CG52" i="2"/>
  <c r="CH52" i="2" s="1"/>
  <c r="CC53" i="2"/>
  <c r="CD53" i="2" s="1"/>
  <c r="CG53" i="2"/>
  <c r="CH53" i="2" s="1"/>
  <c r="CC54" i="2"/>
  <c r="CD54" i="2" s="1"/>
  <c r="CG54" i="2"/>
  <c r="CH54" i="2" s="1"/>
  <c r="CC55" i="2"/>
  <c r="CD55" i="2" s="1"/>
  <c r="CG55" i="2"/>
  <c r="CH55" i="2" s="1"/>
  <c r="CC56" i="2"/>
  <c r="CD56" i="2" s="1"/>
  <c r="CG56" i="2"/>
  <c r="CH56" i="2"/>
  <c r="K57" i="2"/>
  <c r="K60" i="2" s="1"/>
  <c r="K62" i="2" s="1"/>
  <c r="P57" i="2"/>
  <c r="CC57" i="2"/>
  <c r="CD57" i="2" s="1"/>
  <c r="CG57" i="2"/>
  <c r="CH57" i="2" s="1"/>
  <c r="O58" i="2"/>
  <c r="CC58" i="2"/>
  <c r="CD58" i="2" s="1"/>
  <c r="CG58" i="2"/>
  <c r="CH58" i="2" s="1"/>
  <c r="CC59" i="2"/>
  <c r="CD59" i="2"/>
  <c r="CG59" i="2"/>
  <c r="CH59" i="2"/>
  <c r="C60" i="2"/>
  <c r="AA60" i="2"/>
  <c r="CC60" i="2"/>
  <c r="CD60" i="2" s="1"/>
  <c r="CG60" i="2"/>
  <c r="CH60" i="2" s="1"/>
  <c r="C61" i="2"/>
  <c r="CC61" i="2"/>
  <c r="CD61" i="2"/>
  <c r="CG61" i="2"/>
  <c r="CH61" i="2"/>
  <c r="C62" i="2"/>
  <c r="Z62" i="2"/>
  <c r="CC62" i="2"/>
  <c r="CD62" i="2" s="1"/>
  <c r="CG62" i="2"/>
  <c r="CH62" i="2" s="1"/>
  <c r="Z63" i="2"/>
  <c r="CC63" i="2"/>
  <c r="CD63" i="2" s="1"/>
  <c r="CG63" i="2"/>
  <c r="CH63" i="2" s="1"/>
  <c r="AA62" i="2" l="1"/>
  <c r="AA83" i="2"/>
  <c r="AA84" i="2"/>
  <c r="AA87" i="2"/>
  <c r="AA63" i="2"/>
  <c r="AC40" i="1"/>
  <c r="L63" i="2"/>
  <c r="L62" i="2"/>
  <c r="K63" i="2"/>
  <c r="Q61" i="2"/>
  <c r="Q62" i="2"/>
  <c r="R61" i="2"/>
  <c r="R62" i="2"/>
  <c r="AA14" i="1"/>
  <c r="H97" i="1"/>
  <c r="I97" i="1"/>
  <c r="AC3" i="1"/>
  <c r="AB38" i="1" l="1"/>
  <c r="AC43" i="1" s="1"/>
  <c r="AC44" i="1" s="1"/>
  <c r="AB41" i="1"/>
  <c r="K97" i="1"/>
  <c r="AA81" i="2"/>
  <c r="AA82" i="2"/>
  <c r="AB43" i="1" l="1"/>
  <c r="AB44" i="1" s="1"/>
  <c r="AD39" i="1"/>
  <c r="AC39" i="1" s="1"/>
  <c r="Z91" i="2"/>
  <c r="Z83" i="2"/>
  <c r="Z82" i="2"/>
  <c r="M117" i="1" l="1"/>
  <c r="H116" i="1" l="1"/>
  <c r="H115" i="1"/>
  <c r="H114" i="1"/>
  <c r="H113" i="1"/>
  <c r="H112" i="1"/>
  <c r="H111" i="1"/>
  <c r="H110" i="1"/>
  <c r="H109" i="1"/>
  <c r="E78" i="2" l="1"/>
  <c r="E81" i="2"/>
  <c r="Z113" i="2" l="1"/>
  <c r="Z112" i="2"/>
  <c r="Z111" i="2"/>
  <c r="AA30" i="2"/>
  <c r="AB30" i="2" s="1"/>
  <c r="AA27" i="2"/>
  <c r="AA25" i="2"/>
  <c r="AA20" i="2"/>
  <c r="BD52" i="2" l="1"/>
  <c r="BC52" i="2" s="1"/>
  <c r="BD55" i="2"/>
  <c r="BC55" i="2" s="1"/>
  <c r="BD59" i="2"/>
  <c r="BC59" i="2" s="1"/>
  <c r="BD47" i="2"/>
  <c r="BC47" i="2" s="1"/>
  <c r="BD51" i="2"/>
  <c r="BC51" i="2" s="1"/>
  <c r="BD53" i="2"/>
  <c r="BC53" i="2" s="1"/>
  <c r="BD57" i="2"/>
  <c r="BC57" i="2" s="1"/>
  <c r="BD48" i="2"/>
  <c r="BC48" i="2" s="1"/>
  <c r="BD49" i="2"/>
  <c r="BC49" i="2" s="1"/>
  <c r="BD56" i="2"/>
  <c r="BC56" i="2" s="1"/>
  <c r="BD58" i="2"/>
  <c r="BC58" i="2" s="1"/>
  <c r="BD60" i="2"/>
  <c r="BC60" i="2" s="1"/>
  <c r="BD61" i="2"/>
  <c r="BC61" i="2" s="1"/>
  <c r="BD62" i="2"/>
  <c r="BC62" i="2" s="1"/>
  <c r="BD50" i="2"/>
  <c r="BC50" i="2" s="1"/>
  <c r="BD54" i="2"/>
  <c r="BC54" i="2" s="1"/>
  <c r="BD63" i="2"/>
  <c r="BC63" i="2" s="1"/>
  <c r="AC43" i="2"/>
  <c r="AB43" i="2"/>
  <c r="AA42" i="2"/>
  <c r="AB42" i="2" s="1"/>
  <c r="AA41" i="2"/>
  <c r="AA40" i="2"/>
  <c r="AC40" i="2" s="1"/>
  <c r="H100" i="2"/>
  <c r="H99" i="2"/>
  <c r="H98" i="2"/>
  <c r="E100" i="2"/>
  <c r="E99" i="2"/>
  <c r="E98" i="2"/>
  <c r="D100" i="2"/>
  <c r="D99" i="2"/>
  <c r="D98" i="2"/>
  <c r="AB40" i="2" l="1"/>
  <c r="AB41" i="2"/>
  <c r="AC41" i="2" s="1"/>
  <c r="H108" i="1" l="1"/>
  <c r="H107" i="1"/>
  <c r="E85" i="1" l="1"/>
  <c r="E86" i="1"/>
  <c r="H106" i="1" l="1"/>
  <c r="H105" i="1"/>
  <c r="H104" i="1"/>
  <c r="H103" i="1"/>
  <c r="H102" i="1"/>
  <c r="H101" i="1"/>
  <c r="C157" i="2" l="1"/>
  <c r="CG118" i="2"/>
  <c r="CH118" i="2" s="1"/>
  <c r="CC118" i="2"/>
  <c r="CD118" i="2" s="1"/>
  <c r="CG117" i="2"/>
  <c r="CH117" i="2" s="1"/>
  <c r="CC117" i="2"/>
  <c r="CD117" i="2" s="1"/>
  <c r="CG116" i="2"/>
  <c r="CH116" i="2" s="1"/>
  <c r="CC116" i="2"/>
  <c r="CD116" i="2" s="1"/>
  <c r="CG115" i="2"/>
  <c r="CH115" i="2" s="1"/>
  <c r="CC115" i="2"/>
  <c r="CD115" i="2" s="1"/>
  <c r="CG114" i="2"/>
  <c r="CH114" i="2" s="1"/>
  <c r="CC114" i="2"/>
  <c r="CD114" i="2" s="1"/>
  <c r="AH122" i="2"/>
  <c r="AG118" i="2"/>
  <c r="AF118" i="2"/>
  <c r="AE118" i="2"/>
  <c r="AD118" i="2"/>
  <c r="G161" i="2" s="1"/>
  <c r="AC118" i="2"/>
  <c r="AB118" i="2"/>
  <c r="AA114" i="2"/>
  <c r="CG110" i="2"/>
  <c r="CH110" i="2" s="1"/>
  <c r="CC110" i="2"/>
  <c r="CD110" i="2" s="1"/>
  <c r="Z110" i="2"/>
  <c r="CG109" i="2"/>
  <c r="CH109" i="2" s="1"/>
  <c r="CC109" i="2"/>
  <c r="CD109" i="2" s="1"/>
  <c r="Z109" i="2"/>
  <c r="CG108" i="2"/>
  <c r="CH108" i="2" s="1"/>
  <c r="CC108" i="2"/>
  <c r="CD108" i="2" s="1"/>
  <c r="Z108" i="2"/>
  <c r="CG107" i="2"/>
  <c r="CH107" i="2" s="1"/>
  <c r="CC107" i="2"/>
  <c r="CD107" i="2" s="1"/>
  <c r="Z107" i="2"/>
  <c r="CG106" i="2"/>
  <c r="CH106" i="2" s="1"/>
  <c r="CC106" i="2"/>
  <c r="CD106" i="2" s="1"/>
  <c r="Z106" i="2"/>
  <c r="CG105" i="2"/>
  <c r="CH105" i="2" s="1"/>
  <c r="CC105" i="2"/>
  <c r="CD105" i="2" s="1"/>
  <c r="Z105" i="2"/>
  <c r="CG104" i="2"/>
  <c r="CH104" i="2" s="1"/>
  <c r="CC104" i="2"/>
  <c r="CD104" i="2" s="1"/>
  <c r="Z104" i="2"/>
  <c r="CG103" i="2"/>
  <c r="CH103" i="2" s="1"/>
  <c r="CC103" i="2"/>
  <c r="CD103" i="2" s="1"/>
  <c r="Z103" i="2"/>
  <c r="CG102" i="2"/>
  <c r="CH102" i="2" s="1"/>
  <c r="CC102" i="2"/>
  <c r="CD102" i="2" s="1"/>
  <c r="Z102" i="2"/>
  <c r="CG101" i="2"/>
  <c r="CH101" i="2" s="1"/>
  <c r="CC101" i="2"/>
  <c r="CD101" i="2" s="1"/>
  <c r="Z101" i="2"/>
  <c r="CG100" i="2"/>
  <c r="CH100" i="2" s="1"/>
  <c r="CC100" i="2"/>
  <c r="CD100" i="2" s="1"/>
  <c r="Z100" i="2"/>
  <c r="CG99" i="2"/>
  <c r="CH99" i="2" s="1"/>
  <c r="CC99" i="2"/>
  <c r="CD99" i="2" s="1"/>
  <c r="Z99" i="2"/>
  <c r="CG98" i="2"/>
  <c r="CH98" i="2" s="1"/>
  <c r="CC98" i="2"/>
  <c r="CD98" i="2" s="1"/>
  <c r="Z98" i="2"/>
  <c r="CG97" i="2"/>
  <c r="CH97" i="2" s="1"/>
  <c r="CC97" i="2"/>
  <c r="CD97" i="2" s="1"/>
  <c r="Z97" i="2"/>
  <c r="CG96" i="2"/>
  <c r="CH96" i="2" s="1"/>
  <c r="CC96" i="2"/>
  <c r="CD96" i="2" s="1"/>
  <c r="Z96" i="2"/>
  <c r="CG95" i="2"/>
  <c r="CH95" i="2" s="1"/>
  <c r="CC95" i="2"/>
  <c r="CD95" i="2" s="1"/>
  <c r="Z95" i="2"/>
  <c r="CG94" i="2"/>
  <c r="CH94" i="2" s="1"/>
  <c r="CC94" i="2"/>
  <c r="CD94" i="2" s="1"/>
  <c r="Z94" i="2"/>
  <c r="CG93" i="2"/>
  <c r="CH93" i="2" s="1"/>
  <c r="CC93" i="2"/>
  <c r="CD93" i="2" s="1"/>
  <c r="Z93" i="2"/>
  <c r="H97" i="2"/>
  <c r="E97" i="2"/>
  <c r="D97" i="2"/>
  <c r="CG92" i="2"/>
  <c r="CH92" i="2" s="1"/>
  <c r="CC92" i="2"/>
  <c r="CD92" i="2" s="1"/>
  <c r="Z92" i="2"/>
  <c r="H96" i="2"/>
  <c r="E96" i="2"/>
  <c r="D96" i="2"/>
  <c r="CG91" i="2"/>
  <c r="CH91" i="2" s="1"/>
  <c r="CC91" i="2"/>
  <c r="CD91" i="2" s="1"/>
  <c r="H95" i="2"/>
  <c r="E95" i="2"/>
  <c r="D95" i="2"/>
  <c r="CG90" i="2"/>
  <c r="CH90" i="2" s="1"/>
  <c r="CC90" i="2"/>
  <c r="CD90" i="2" s="1"/>
  <c r="H94" i="2"/>
  <c r="E94" i="2"/>
  <c r="D94" i="2"/>
  <c r="CG89" i="2"/>
  <c r="CH89" i="2" s="1"/>
  <c r="CC89" i="2"/>
  <c r="CD89" i="2" s="1"/>
  <c r="H93" i="2"/>
  <c r="E93" i="2"/>
  <c r="D93" i="2"/>
  <c r="CG88" i="2"/>
  <c r="CH88" i="2" s="1"/>
  <c r="CC88" i="2"/>
  <c r="CD88" i="2" s="1"/>
  <c r="H92" i="2"/>
  <c r="E92" i="2"/>
  <c r="D92" i="2"/>
  <c r="CG87" i="2"/>
  <c r="CH87" i="2" s="1"/>
  <c r="CC87" i="2"/>
  <c r="CD87" i="2" s="1"/>
  <c r="H91" i="2"/>
  <c r="E91" i="2"/>
  <c r="D91" i="2"/>
  <c r="CG86" i="2"/>
  <c r="CH86" i="2" s="1"/>
  <c r="CC86" i="2"/>
  <c r="CD86" i="2" s="1"/>
  <c r="H90" i="2"/>
  <c r="E90" i="2"/>
  <c r="D90" i="2"/>
  <c r="CG85" i="2"/>
  <c r="CH85" i="2" s="1"/>
  <c r="CC85" i="2"/>
  <c r="CD85" i="2" s="1"/>
  <c r="H89" i="2"/>
  <c r="E89" i="2"/>
  <c r="D89" i="2"/>
  <c r="CG84" i="2"/>
  <c r="CH84" i="2" s="1"/>
  <c r="CC84" i="2"/>
  <c r="CD84" i="2" s="1"/>
  <c r="H88" i="2"/>
  <c r="E88" i="2"/>
  <c r="D88" i="2"/>
  <c r="CG83" i="2"/>
  <c r="CH83" i="2" s="1"/>
  <c r="CC83" i="2"/>
  <c r="CD83" i="2" s="1"/>
  <c r="H87" i="2"/>
  <c r="E87" i="2"/>
  <c r="D87" i="2"/>
  <c r="CG82" i="2"/>
  <c r="CH82" i="2" s="1"/>
  <c r="CC82" i="2"/>
  <c r="CD82" i="2" s="1"/>
  <c r="H86" i="2"/>
  <c r="E86" i="2"/>
  <c r="D86" i="2"/>
  <c r="CG81" i="2"/>
  <c r="CH81" i="2" s="1"/>
  <c r="CC81" i="2"/>
  <c r="CD81" i="2" s="1"/>
  <c r="Z81" i="2"/>
  <c r="H85" i="2"/>
  <c r="E85" i="2"/>
  <c r="D85" i="2"/>
  <c r="CG80" i="2"/>
  <c r="CH80" i="2" s="1"/>
  <c r="CC80" i="2"/>
  <c r="CD80" i="2" s="1"/>
  <c r="Z80" i="2"/>
  <c r="H84" i="2"/>
  <c r="E84" i="2"/>
  <c r="D84" i="2"/>
  <c r="CG79" i="2"/>
  <c r="CH79" i="2" s="1"/>
  <c r="CC79" i="2"/>
  <c r="CD79" i="2" s="1"/>
  <c r="Z79" i="2"/>
  <c r="H83" i="2"/>
  <c r="E83" i="2"/>
  <c r="D83" i="2"/>
  <c r="CG78" i="2"/>
  <c r="CH78" i="2" s="1"/>
  <c r="CC78" i="2"/>
  <c r="CD78" i="2" s="1"/>
  <c r="Z78" i="2"/>
  <c r="H82" i="2"/>
  <c r="E82" i="2"/>
  <c r="D82" i="2"/>
  <c r="CG77" i="2"/>
  <c r="CH77" i="2" s="1"/>
  <c r="CC77" i="2"/>
  <c r="CD77" i="2" s="1"/>
  <c r="Z77" i="2"/>
  <c r="H81" i="2"/>
  <c r="D81" i="2"/>
  <c r="CG76" i="2"/>
  <c r="CH76" i="2" s="1"/>
  <c r="CC76" i="2"/>
  <c r="CD76" i="2" s="1"/>
  <c r="Z76" i="2"/>
  <c r="H80" i="2"/>
  <c r="E80" i="2"/>
  <c r="D80" i="2"/>
  <c r="CG75" i="2"/>
  <c r="CH75" i="2" s="1"/>
  <c r="CC75" i="2"/>
  <c r="CD75" i="2" s="1"/>
  <c r="Z75" i="2"/>
  <c r="H79" i="2"/>
  <c r="E79" i="2"/>
  <c r="D79" i="2"/>
  <c r="CG74" i="2"/>
  <c r="CH74" i="2" s="1"/>
  <c r="CC74" i="2"/>
  <c r="CD74" i="2" s="1"/>
  <c r="Z74" i="2"/>
  <c r="H78" i="2"/>
  <c r="D78" i="2"/>
  <c r="CL73" i="2"/>
  <c r="CG73" i="2"/>
  <c r="CH73" i="2" s="1"/>
  <c r="CC73" i="2"/>
  <c r="CD73" i="2" s="1"/>
  <c r="Z73" i="2"/>
  <c r="CL72" i="2"/>
  <c r="CG72" i="2"/>
  <c r="CH72" i="2" s="1"/>
  <c r="CC72" i="2"/>
  <c r="CD72" i="2" s="1"/>
  <c r="Z72" i="2"/>
  <c r="CL71" i="2"/>
  <c r="CG71" i="2"/>
  <c r="CH71" i="2" s="1"/>
  <c r="CC71" i="2"/>
  <c r="CD71" i="2" s="1"/>
  <c r="Z71" i="2"/>
  <c r="CL70" i="2"/>
  <c r="CG70" i="2"/>
  <c r="CH70" i="2" s="1"/>
  <c r="CC70" i="2"/>
  <c r="CD70" i="2" s="1"/>
  <c r="Z70" i="2"/>
  <c r="CG69" i="2"/>
  <c r="CH69" i="2" s="1"/>
  <c r="CC69" i="2"/>
  <c r="CD69" i="2" s="1"/>
  <c r="Z69" i="2"/>
  <c r="CG68" i="2"/>
  <c r="CH68" i="2" s="1"/>
  <c r="CC68" i="2"/>
  <c r="CD68" i="2" s="1"/>
  <c r="Z68" i="2"/>
  <c r="CG67" i="2"/>
  <c r="CH67" i="2" s="1"/>
  <c r="CC67" i="2"/>
  <c r="CD67" i="2" s="1"/>
  <c r="Z67" i="2"/>
  <c r="W71" i="2"/>
  <c r="M49" i="2" s="1"/>
  <c r="CG66" i="2"/>
  <c r="CH66" i="2" s="1"/>
  <c r="CC66" i="2"/>
  <c r="CD66" i="2" s="1"/>
  <c r="Z66" i="2"/>
  <c r="W70" i="2"/>
  <c r="M48" i="2" s="1"/>
  <c r="CG65" i="2"/>
  <c r="CH65" i="2" s="1"/>
  <c r="CC65" i="2"/>
  <c r="CD65" i="2" s="1"/>
  <c r="Z65" i="2"/>
  <c r="W69" i="2"/>
  <c r="M47" i="2" s="1"/>
  <c r="CG64" i="2"/>
  <c r="CH64" i="2" s="1"/>
  <c r="CC64" i="2"/>
  <c r="CD64" i="2" s="1"/>
  <c r="Z64" i="2"/>
  <c r="W68" i="2"/>
  <c r="M46" i="2" s="1"/>
  <c r="W67" i="2"/>
  <c r="M45" i="2" s="1"/>
  <c r="M67" i="2"/>
  <c r="G64" i="2"/>
  <c r="G45" i="2" s="1"/>
  <c r="C43" i="2"/>
  <c r="CG46" i="2"/>
  <c r="CH46" i="2" s="1"/>
  <c r="CC46" i="2"/>
  <c r="CD46" i="2" s="1"/>
  <c r="CG45" i="2"/>
  <c r="CH45" i="2" s="1"/>
  <c r="CC45" i="2"/>
  <c r="CD45" i="2" s="1"/>
  <c r="CG44" i="2"/>
  <c r="CH44" i="2" s="1"/>
  <c r="CC44" i="2"/>
  <c r="CD44" i="2" s="1"/>
  <c r="CG43" i="2"/>
  <c r="CH43" i="2" s="1"/>
  <c r="CC43" i="2"/>
  <c r="CD43" i="2" s="1"/>
  <c r="CG42" i="2"/>
  <c r="CH42" i="2" s="1"/>
  <c r="CC42" i="2"/>
  <c r="CD42" i="2" s="1"/>
  <c r="CG41" i="2"/>
  <c r="CH41" i="2" s="1"/>
  <c r="CC41" i="2"/>
  <c r="CD41" i="2" s="1"/>
  <c r="CG40" i="2"/>
  <c r="CH40" i="2" s="1"/>
  <c r="CC40" i="2"/>
  <c r="CD40" i="2" s="1"/>
  <c r="CG39" i="2"/>
  <c r="CH39" i="2" s="1"/>
  <c r="CC39" i="2"/>
  <c r="CD39" i="2" s="1"/>
  <c r="AA39" i="2"/>
  <c r="AC39" i="2" s="1"/>
  <c r="Z39" i="2"/>
  <c r="CG38" i="2"/>
  <c r="CH38" i="2" s="1"/>
  <c r="CC38" i="2"/>
  <c r="CD38" i="2" s="1"/>
  <c r="AA38" i="2"/>
  <c r="Z38" i="2"/>
  <c r="CG37" i="2"/>
  <c r="CH37" i="2" s="1"/>
  <c r="CC37" i="2"/>
  <c r="CD37" i="2" s="1"/>
  <c r="AA37" i="2"/>
  <c r="AC37" i="2" s="1"/>
  <c r="Z37" i="2"/>
  <c r="CG36" i="2"/>
  <c r="CH36" i="2" s="1"/>
  <c r="CC36" i="2"/>
  <c r="CD36" i="2" s="1"/>
  <c r="AA36" i="2"/>
  <c r="AB36" i="2" s="1"/>
  <c r="Z36" i="2"/>
  <c r="CG35" i="2"/>
  <c r="CH35" i="2" s="1"/>
  <c r="CC35" i="2"/>
  <c r="CD35" i="2" s="1"/>
  <c r="AA35" i="2"/>
  <c r="Z35" i="2"/>
  <c r="CG34" i="2"/>
  <c r="CH34" i="2" s="1"/>
  <c r="CC34" i="2"/>
  <c r="CD34" i="2" s="1"/>
  <c r="AA34" i="2"/>
  <c r="Z34" i="2"/>
  <c r="CG33" i="2"/>
  <c r="CH33" i="2" s="1"/>
  <c r="CC33" i="2"/>
  <c r="CD33" i="2" s="1"/>
  <c r="AA33" i="2"/>
  <c r="Z33" i="2"/>
  <c r="CG32" i="2"/>
  <c r="CH32" i="2" s="1"/>
  <c r="CC32" i="2"/>
  <c r="CD32" i="2" s="1"/>
  <c r="AA32" i="2"/>
  <c r="AB32" i="2" s="1"/>
  <c r="Z32" i="2"/>
  <c r="CG31" i="2"/>
  <c r="CH31" i="2" s="1"/>
  <c r="CC31" i="2"/>
  <c r="CD31" i="2" s="1"/>
  <c r="AA31" i="2"/>
  <c r="Z31" i="2"/>
  <c r="CG30" i="2"/>
  <c r="CH30" i="2" s="1"/>
  <c r="CC30" i="2"/>
  <c r="CD30" i="2" s="1"/>
  <c r="Z30" i="2"/>
  <c r="CG29" i="2"/>
  <c r="CH29" i="2" s="1"/>
  <c r="CC29" i="2"/>
  <c r="CD29" i="2" s="1"/>
  <c r="AA29" i="2"/>
  <c r="Z29" i="2"/>
  <c r="CG28" i="2"/>
  <c r="CH28" i="2" s="1"/>
  <c r="CC28" i="2"/>
  <c r="CD28" i="2" s="1"/>
  <c r="AA28" i="2"/>
  <c r="AB28" i="2" s="1"/>
  <c r="Z28" i="2"/>
  <c r="CG27" i="2"/>
  <c r="CH27" i="2" s="1"/>
  <c r="CC27" i="2"/>
  <c r="CD27" i="2" s="1"/>
  <c r="Z27" i="2"/>
  <c r="CG26" i="2"/>
  <c r="CH26" i="2" s="1"/>
  <c r="CC26" i="2"/>
  <c r="CD26" i="2" s="1"/>
  <c r="AA26" i="2"/>
  <c r="Z26" i="2"/>
  <c r="CG25" i="2"/>
  <c r="CH25" i="2" s="1"/>
  <c r="CC25" i="2"/>
  <c r="CD25" i="2" s="1"/>
  <c r="Z25" i="2"/>
  <c r="CG24" i="2"/>
  <c r="CH24" i="2" s="1"/>
  <c r="CC24" i="2"/>
  <c r="CD24" i="2" s="1"/>
  <c r="AA24" i="2"/>
  <c r="AB24" i="2" s="1"/>
  <c r="Z24" i="2"/>
  <c r="CG23" i="2"/>
  <c r="CH23" i="2" s="1"/>
  <c r="CC23" i="2"/>
  <c r="CD23" i="2" s="1"/>
  <c r="AA23" i="2"/>
  <c r="Z23" i="2"/>
  <c r="CG22" i="2"/>
  <c r="CH22" i="2" s="1"/>
  <c r="CC22" i="2"/>
  <c r="CD22" i="2" s="1"/>
  <c r="AA22" i="2"/>
  <c r="Z22" i="2"/>
  <c r="CG21" i="2"/>
  <c r="CH21" i="2" s="1"/>
  <c r="CC21" i="2"/>
  <c r="CD21" i="2" s="1"/>
  <c r="AA21" i="2"/>
  <c r="AB21" i="2" s="1"/>
  <c r="Z21" i="2"/>
  <c r="CG20" i="2"/>
  <c r="CH20" i="2" s="1"/>
  <c r="CC20" i="2"/>
  <c r="CD20" i="2" s="1"/>
  <c r="AB20" i="2"/>
  <c r="Z20" i="2"/>
  <c r="AA9" i="2"/>
  <c r="AB9" i="2" s="1"/>
  <c r="AF5" i="2"/>
  <c r="AC4" i="2"/>
  <c r="AA4" i="2"/>
  <c r="AV115" i="1"/>
  <c r="AW115" i="1" s="1"/>
  <c r="AP115" i="1"/>
  <c r="AQ115" i="1" s="1"/>
  <c r="AV114" i="1"/>
  <c r="AW114" i="1" s="1"/>
  <c r="AP114" i="1"/>
  <c r="AQ114" i="1" s="1"/>
  <c r="AV113" i="1"/>
  <c r="AW113" i="1" s="1"/>
  <c r="AP113" i="1"/>
  <c r="AQ113" i="1" s="1"/>
  <c r="AV112" i="1"/>
  <c r="AW112" i="1" s="1"/>
  <c r="AP112" i="1"/>
  <c r="AQ112" i="1" s="1"/>
  <c r="AV111" i="1"/>
  <c r="AW111" i="1" s="1"/>
  <c r="AP111" i="1"/>
  <c r="AQ111" i="1" s="1"/>
  <c r="AV110" i="1"/>
  <c r="AW110" i="1" s="1"/>
  <c r="AP110" i="1"/>
  <c r="AQ110" i="1" s="1"/>
  <c r="AV109" i="1"/>
  <c r="AW109" i="1" s="1"/>
  <c r="AP109" i="1"/>
  <c r="AQ109" i="1" s="1"/>
  <c r="AV108" i="1"/>
  <c r="AW108" i="1" s="1"/>
  <c r="AP108" i="1"/>
  <c r="AQ108" i="1" s="1"/>
  <c r="AV107" i="1"/>
  <c r="AW107" i="1" s="1"/>
  <c r="AP107" i="1"/>
  <c r="AQ107" i="1" s="1"/>
  <c r="AV106" i="1"/>
  <c r="AW106" i="1" s="1"/>
  <c r="AP106" i="1"/>
  <c r="AQ106" i="1" s="1"/>
  <c r="AV105" i="1"/>
  <c r="AW105" i="1" s="1"/>
  <c r="AP105" i="1"/>
  <c r="AQ105" i="1" s="1"/>
  <c r="AV104" i="1"/>
  <c r="AW104" i="1" s="1"/>
  <c r="AP104" i="1"/>
  <c r="AQ104" i="1" s="1"/>
  <c r="AV103" i="1"/>
  <c r="AW103" i="1" s="1"/>
  <c r="AP103" i="1"/>
  <c r="AQ103" i="1" s="1"/>
  <c r="AV102" i="1"/>
  <c r="AW102" i="1" s="1"/>
  <c r="AP102" i="1"/>
  <c r="AQ102" i="1" s="1"/>
  <c r="AV101" i="1"/>
  <c r="AW101" i="1" s="1"/>
  <c r="AP101" i="1"/>
  <c r="AQ101" i="1" s="1"/>
  <c r="AV100" i="1"/>
  <c r="AW100" i="1" s="1"/>
  <c r="AP100" i="1"/>
  <c r="AQ100" i="1" s="1"/>
  <c r="AV99" i="1"/>
  <c r="AW99" i="1" s="1"/>
  <c r="AP99" i="1"/>
  <c r="AQ99" i="1" s="1"/>
  <c r="AV98" i="1"/>
  <c r="AW98" i="1" s="1"/>
  <c r="AP98" i="1"/>
  <c r="AQ98" i="1" s="1"/>
  <c r="AV97" i="1"/>
  <c r="AW97" i="1" s="1"/>
  <c r="AP97" i="1"/>
  <c r="AQ97" i="1" s="1"/>
  <c r="AS96" i="1"/>
  <c r="AT96" i="1" s="1"/>
  <c r="AM96" i="1"/>
  <c r="AN96" i="1" s="1"/>
  <c r="AS95" i="1"/>
  <c r="AT95" i="1" s="1"/>
  <c r="AM95" i="1"/>
  <c r="AN95" i="1" s="1"/>
  <c r="AS94" i="1"/>
  <c r="AT94" i="1" s="1"/>
  <c r="AM94" i="1"/>
  <c r="AN94" i="1" s="1"/>
  <c r="AS93" i="1"/>
  <c r="AT93" i="1" s="1"/>
  <c r="AM93" i="1"/>
  <c r="AN93" i="1" s="1"/>
  <c r="AS92" i="1"/>
  <c r="AT92" i="1" s="1"/>
  <c r="AM92" i="1"/>
  <c r="AN92" i="1" s="1"/>
  <c r="AS91" i="1"/>
  <c r="AT91" i="1" s="1"/>
  <c r="AM91" i="1"/>
  <c r="AN91" i="1" s="1"/>
  <c r="AS90" i="1"/>
  <c r="AT90" i="1" s="1"/>
  <c r="AM90" i="1"/>
  <c r="AN90" i="1" s="1"/>
  <c r="H100" i="1"/>
  <c r="AS89" i="1"/>
  <c r="AT89" i="1" s="1"/>
  <c r="AM89" i="1"/>
  <c r="AN89" i="1" s="1"/>
  <c r="H99" i="1"/>
  <c r="AS88" i="1"/>
  <c r="AT88" i="1" s="1"/>
  <c r="AM88" i="1"/>
  <c r="AN88" i="1" s="1"/>
  <c r="H98" i="1"/>
  <c r="AS87" i="1"/>
  <c r="AT87" i="1" s="1"/>
  <c r="AM87" i="1"/>
  <c r="AN87" i="1" s="1"/>
  <c r="AS86" i="1"/>
  <c r="AT86" i="1" s="1"/>
  <c r="AM86" i="1"/>
  <c r="AN86" i="1" s="1"/>
  <c r="AS85" i="1"/>
  <c r="AT85" i="1" s="1"/>
  <c r="AM85" i="1"/>
  <c r="AN85" i="1" s="1"/>
  <c r="AS84" i="1"/>
  <c r="AT84" i="1" s="1"/>
  <c r="AM84" i="1"/>
  <c r="AN84" i="1" s="1"/>
  <c r="AS83" i="1"/>
  <c r="AT83" i="1" s="1"/>
  <c r="AM83" i="1"/>
  <c r="AN83" i="1" s="1"/>
  <c r="AS82" i="1"/>
  <c r="AT82" i="1" s="1"/>
  <c r="AM82" i="1"/>
  <c r="AN82" i="1" s="1"/>
  <c r="AS81" i="1"/>
  <c r="AT81" i="1" s="1"/>
  <c r="AM81" i="1"/>
  <c r="AN81" i="1" s="1"/>
  <c r="AS80" i="1"/>
  <c r="AT80" i="1" s="1"/>
  <c r="AM80" i="1"/>
  <c r="AN80" i="1" s="1"/>
  <c r="AS79" i="1"/>
  <c r="AT79" i="1" s="1"/>
  <c r="AM79" i="1"/>
  <c r="AN79" i="1" s="1"/>
  <c r="AS78" i="1"/>
  <c r="AT78" i="1" s="1"/>
  <c r="AM78" i="1"/>
  <c r="AN78" i="1" s="1"/>
  <c r="AS77" i="1"/>
  <c r="AT77" i="1" s="1"/>
  <c r="AM77" i="1"/>
  <c r="AN77" i="1" s="1"/>
  <c r="AS76" i="1"/>
  <c r="AT76" i="1" s="1"/>
  <c r="AM76" i="1"/>
  <c r="AN76" i="1" s="1"/>
  <c r="AS75" i="1"/>
  <c r="AT75" i="1" s="1"/>
  <c r="AM75" i="1"/>
  <c r="AN75" i="1" s="1"/>
  <c r="T88" i="1"/>
  <c r="Q15" i="1" s="1"/>
  <c r="AS74" i="1"/>
  <c r="AT74" i="1" s="1"/>
  <c r="AM74" i="1"/>
  <c r="AN74" i="1" s="1"/>
  <c r="T87" i="1"/>
  <c r="Q14" i="1" s="1"/>
  <c r="AS73" i="1"/>
  <c r="AT73" i="1" s="1"/>
  <c r="AQ73" i="1"/>
  <c r="AM73" i="1"/>
  <c r="AN73" i="1" s="1"/>
  <c r="T86" i="1"/>
  <c r="Q13" i="1" s="1"/>
  <c r="AS72" i="1"/>
  <c r="AT72" i="1" s="1"/>
  <c r="AQ72" i="1"/>
  <c r="AM72" i="1"/>
  <c r="AN72" i="1" s="1"/>
  <c r="T85" i="1"/>
  <c r="Q12" i="1" s="1"/>
  <c r="AS71" i="1"/>
  <c r="AT71" i="1" s="1"/>
  <c r="AQ71" i="1"/>
  <c r="AM71" i="1"/>
  <c r="AN71" i="1" s="1"/>
  <c r="T84" i="1"/>
  <c r="Q11" i="1" s="1"/>
  <c r="L85" i="1"/>
  <c r="K81" i="1"/>
  <c r="J81" i="1"/>
  <c r="I81" i="1"/>
  <c r="G81" i="1"/>
  <c r="AS70" i="1"/>
  <c r="AT70" i="1" s="1"/>
  <c r="AQ70" i="1"/>
  <c r="AM70" i="1"/>
  <c r="AN70" i="1" s="1"/>
  <c r="L84" i="1"/>
  <c r="K80" i="1"/>
  <c r="J80" i="1"/>
  <c r="I80" i="1"/>
  <c r="G80" i="1"/>
  <c r="AS69" i="1"/>
  <c r="AT69" i="1" s="1"/>
  <c r="AM69" i="1"/>
  <c r="AN69" i="1" s="1"/>
  <c r="L83" i="1"/>
  <c r="K79" i="1"/>
  <c r="J79" i="1"/>
  <c r="I79" i="1"/>
  <c r="G79" i="1"/>
  <c r="AS68" i="1"/>
  <c r="AT68" i="1" s="1"/>
  <c r="AM68" i="1"/>
  <c r="AN68" i="1" s="1"/>
  <c r="L82" i="1"/>
  <c r="K78" i="1"/>
  <c r="J78" i="1"/>
  <c r="I78" i="1"/>
  <c r="G78" i="1"/>
  <c r="AS67" i="1"/>
  <c r="AT67" i="1" s="1"/>
  <c r="AM67" i="1"/>
  <c r="AN67" i="1" s="1"/>
  <c r="L81" i="1"/>
  <c r="K77" i="1"/>
  <c r="J77" i="1"/>
  <c r="I77" i="1"/>
  <c r="G77" i="1"/>
  <c r="AS66" i="1"/>
  <c r="AT66" i="1" s="1"/>
  <c r="AM66" i="1"/>
  <c r="AN66" i="1" s="1"/>
  <c r="L80" i="1"/>
  <c r="K76" i="1"/>
  <c r="J76" i="1"/>
  <c r="I76" i="1"/>
  <c r="G76" i="1"/>
  <c r="AS65" i="1"/>
  <c r="AT65" i="1" s="1"/>
  <c r="AM65" i="1"/>
  <c r="AN65" i="1" s="1"/>
  <c r="AS64" i="1"/>
  <c r="AT64" i="1" s="1"/>
  <c r="AM64" i="1"/>
  <c r="AN64" i="1" s="1"/>
  <c r="AS63" i="1"/>
  <c r="AT63" i="1" s="1"/>
  <c r="AM63" i="1"/>
  <c r="AN63" i="1" s="1"/>
  <c r="T76" i="1"/>
  <c r="Q6" i="1" s="1"/>
  <c r="M73" i="1"/>
  <c r="AS62" i="1"/>
  <c r="AT62" i="1" s="1"/>
  <c r="AM62" i="1"/>
  <c r="AN62" i="1" s="1"/>
  <c r="AS61" i="1"/>
  <c r="AT61" i="1" s="1"/>
  <c r="AM61" i="1"/>
  <c r="AN61" i="1" s="1"/>
  <c r="AS60" i="1"/>
  <c r="AT60" i="1" s="1"/>
  <c r="AM60" i="1"/>
  <c r="AN60" i="1" s="1"/>
  <c r="D70" i="1"/>
  <c r="AS59" i="1"/>
  <c r="AT59" i="1" s="1"/>
  <c r="AM59" i="1"/>
  <c r="AN59" i="1" s="1"/>
  <c r="AS58" i="1"/>
  <c r="AT58" i="1" s="1"/>
  <c r="AM58" i="1"/>
  <c r="AN58" i="1" s="1"/>
  <c r="AS57" i="1"/>
  <c r="AT57" i="1" s="1"/>
  <c r="AM57" i="1"/>
  <c r="AN57" i="1" s="1"/>
  <c r="AS56" i="1"/>
  <c r="AT56" i="1" s="1"/>
  <c r="AM56" i="1"/>
  <c r="AN56" i="1" s="1"/>
  <c r="AS55" i="1"/>
  <c r="AT55" i="1" s="1"/>
  <c r="AM55" i="1"/>
  <c r="AN55" i="1" s="1"/>
  <c r="AS54" i="1"/>
  <c r="AT54" i="1" s="1"/>
  <c r="AM54" i="1"/>
  <c r="AN54" i="1" s="1"/>
  <c r="AS53" i="1"/>
  <c r="AT53" i="1" s="1"/>
  <c r="AM53" i="1"/>
  <c r="AN53" i="1" s="1"/>
  <c r="AS52" i="1"/>
  <c r="AT52" i="1" s="1"/>
  <c r="AM52" i="1"/>
  <c r="AN52" i="1" s="1"/>
  <c r="AS51" i="1"/>
  <c r="AT51" i="1" s="1"/>
  <c r="AM51" i="1"/>
  <c r="AN51" i="1" s="1"/>
  <c r="AS50" i="1"/>
  <c r="AT50" i="1" s="1"/>
  <c r="AM50" i="1"/>
  <c r="AN50" i="1" s="1"/>
  <c r="AS49" i="1"/>
  <c r="AT49" i="1" s="1"/>
  <c r="AM49" i="1"/>
  <c r="AN49" i="1" s="1"/>
  <c r="AS48" i="1"/>
  <c r="AT48" i="1" s="1"/>
  <c r="AM48" i="1"/>
  <c r="AN48" i="1" s="1"/>
  <c r="AS47" i="1"/>
  <c r="AT47" i="1" s="1"/>
  <c r="AM47" i="1"/>
  <c r="AN47" i="1" s="1"/>
  <c r="AS46" i="1"/>
  <c r="AT46" i="1" s="1"/>
  <c r="AM46" i="1"/>
  <c r="AN46" i="1" s="1"/>
  <c r="AS45" i="1"/>
  <c r="AT45" i="1" s="1"/>
  <c r="AM45" i="1"/>
  <c r="AN45" i="1" s="1"/>
  <c r="AS44" i="1"/>
  <c r="AT44" i="1" s="1"/>
  <c r="AM44" i="1"/>
  <c r="AN44" i="1" s="1"/>
  <c r="AS43" i="1"/>
  <c r="AT43" i="1" s="1"/>
  <c r="AM43" i="1"/>
  <c r="AN43" i="1" s="1"/>
  <c r="AS42" i="1"/>
  <c r="AT42" i="1" s="1"/>
  <c r="AM42" i="1"/>
  <c r="AN42" i="1" s="1"/>
  <c r="AS41" i="1"/>
  <c r="AT41" i="1" s="1"/>
  <c r="AM41" i="1"/>
  <c r="AN41" i="1" s="1"/>
  <c r="AS40" i="1"/>
  <c r="AT40" i="1" s="1"/>
  <c r="AM40" i="1"/>
  <c r="AN40" i="1" s="1"/>
  <c r="AS39" i="1"/>
  <c r="AT39" i="1" s="1"/>
  <c r="AM39" i="1"/>
  <c r="AN39" i="1" s="1"/>
  <c r="AS38" i="1"/>
  <c r="AT38" i="1" s="1"/>
  <c r="AM38" i="1"/>
  <c r="AN38" i="1" s="1"/>
  <c r="E48" i="1"/>
  <c r="AS37" i="1"/>
  <c r="AT37" i="1" s="1"/>
  <c r="AM37" i="1"/>
  <c r="AN37" i="1" s="1"/>
  <c r="AS36" i="1"/>
  <c r="AT36" i="1" s="1"/>
  <c r="AM36" i="1"/>
  <c r="AN36" i="1" s="1"/>
  <c r="AS35" i="1"/>
  <c r="AT35" i="1" s="1"/>
  <c r="AM35" i="1"/>
  <c r="AN35" i="1" s="1"/>
  <c r="AS34" i="1"/>
  <c r="AT34" i="1" s="1"/>
  <c r="AM34" i="1"/>
  <c r="AN34" i="1" s="1"/>
  <c r="AS33" i="1"/>
  <c r="AT33" i="1" s="1"/>
  <c r="AM33" i="1"/>
  <c r="AN33" i="1" s="1"/>
  <c r="AS32" i="1"/>
  <c r="AT32" i="1" s="1"/>
  <c r="AM32" i="1"/>
  <c r="AN32" i="1" s="1"/>
  <c r="AS31" i="1"/>
  <c r="AT31" i="1" s="1"/>
  <c r="AM31" i="1"/>
  <c r="AN31" i="1" s="1"/>
  <c r="AS30" i="1"/>
  <c r="AT30" i="1" s="1"/>
  <c r="AM30" i="1"/>
  <c r="AN30" i="1" s="1"/>
  <c r="AS29" i="1"/>
  <c r="AT29" i="1" s="1"/>
  <c r="AM29" i="1"/>
  <c r="AN29" i="1" s="1"/>
  <c r="AS28" i="1"/>
  <c r="AT28" i="1" s="1"/>
  <c r="AM28" i="1"/>
  <c r="AN28" i="1" s="1"/>
  <c r="AS27" i="1"/>
  <c r="AT27" i="1" s="1"/>
  <c r="AM27" i="1"/>
  <c r="AN27" i="1" s="1"/>
  <c r="AA27" i="1"/>
  <c r="AS26" i="1"/>
  <c r="AT26" i="1" s="1"/>
  <c r="AM26" i="1"/>
  <c r="AN26" i="1" s="1"/>
  <c r="AA26" i="1"/>
  <c r="AS25" i="1"/>
  <c r="AT25" i="1" s="1"/>
  <c r="AM25" i="1"/>
  <c r="AN25" i="1" s="1"/>
  <c r="AA25" i="1"/>
  <c r="AS24" i="1"/>
  <c r="AT24" i="1" s="1"/>
  <c r="AM24" i="1"/>
  <c r="AN24" i="1" s="1"/>
  <c r="AS23" i="1"/>
  <c r="AT23" i="1" s="1"/>
  <c r="AM23" i="1"/>
  <c r="AN23" i="1" s="1"/>
  <c r="AS22" i="1"/>
  <c r="AT22" i="1" s="1"/>
  <c r="AM22" i="1"/>
  <c r="AN22" i="1" s="1"/>
  <c r="AS21" i="1"/>
  <c r="AT21" i="1" s="1"/>
  <c r="AM21" i="1"/>
  <c r="AN21" i="1" s="1"/>
  <c r="AS20" i="1"/>
  <c r="AT20" i="1" s="1"/>
  <c r="AM20" i="1"/>
  <c r="AN20" i="1" s="1"/>
  <c r="AB13" i="1"/>
  <c r="AH10" i="1"/>
  <c r="AC6" i="1"/>
  <c r="AD49" i="1" s="1"/>
  <c r="BH26" i="2" l="1"/>
  <c r="BG26" i="2" s="1"/>
  <c r="BH49" i="2"/>
  <c r="BG49" i="2" s="1"/>
  <c r="BH55" i="2"/>
  <c r="BG55" i="2" s="1"/>
  <c r="BH56" i="2"/>
  <c r="BG56" i="2" s="1"/>
  <c r="BH47" i="2"/>
  <c r="BG47" i="2" s="1"/>
  <c r="BH53" i="2"/>
  <c r="BG53" i="2" s="1"/>
  <c r="BH54" i="2"/>
  <c r="BG54" i="2" s="1"/>
  <c r="BH57" i="2"/>
  <c r="BG57" i="2" s="1"/>
  <c r="BH48" i="2"/>
  <c r="BG48" i="2" s="1"/>
  <c r="BH52" i="2"/>
  <c r="BG52" i="2" s="1"/>
  <c r="BH58" i="2"/>
  <c r="BG58" i="2" s="1"/>
  <c r="BH59" i="2"/>
  <c r="BG59" i="2" s="1"/>
  <c r="BH51" i="2"/>
  <c r="BG51" i="2" s="1"/>
  <c r="BH60" i="2"/>
  <c r="BG60" i="2" s="1"/>
  <c r="BH63" i="2"/>
  <c r="BG63" i="2" s="1"/>
  <c r="BH50" i="2"/>
  <c r="BG50" i="2" s="1"/>
  <c r="BH62" i="2"/>
  <c r="BG62" i="2" s="1"/>
  <c r="BH61" i="2"/>
  <c r="BG61" i="2" s="1"/>
  <c r="AZ33" i="2"/>
  <c r="AY33" i="2" s="1"/>
  <c r="AZ49" i="2"/>
  <c r="AY49" i="2" s="1"/>
  <c r="AZ55" i="2"/>
  <c r="AY55" i="2" s="1"/>
  <c r="AZ56" i="2"/>
  <c r="AY56" i="2" s="1"/>
  <c r="AZ47" i="2"/>
  <c r="AY47" i="2" s="1"/>
  <c r="AZ53" i="2"/>
  <c r="AY53" i="2" s="1"/>
  <c r="AZ54" i="2"/>
  <c r="AY54" i="2" s="1"/>
  <c r="AZ57" i="2"/>
  <c r="AY57" i="2" s="1"/>
  <c r="AZ48" i="2"/>
  <c r="AY48" i="2" s="1"/>
  <c r="AZ52" i="2"/>
  <c r="AY52" i="2" s="1"/>
  <c r="AZ58" i="2"/>
  <c r="AY58" i="2" s="1"/>
  <c r="AZ59" i="2"/>
  <c r="AY59" i="2" s="1"/>
  <c r="AZ50" i="2"/>
  <c r="AY50" i="2" s="1"/>
  <c r="AZ63" i="2"/>
  <c r="AY63" i="2" s="1"/>
  <c r="AZ60" i="2"/>
  <c r="AY60" i="2" s="1"/>
  <c r="AZ61" i="2"/>
  <c r="AY61" i="2" s="1"/>
  <c r="AZ51" i="2"/>
  <c r="AY51" i="2" s="1"/>
  <c r="AZ62" i="2"/>
  <c r="AY62" i="2" s="1"/>
  <c r="AR82" i="2"/>
  <c r="AQ82" i="2" s="1"/>
  <c r="AR49" i="2"/>
  <c r="AQ49" i="2" s="1"/>
  <c r="AR55" i="2"/>
  <c r="AQ55" i="2" s="1"/>
  <c r="AR56" i="2"/>
  <c r="AQ56" i="2" s="1"/>
  <c r="AR47" i="2"/>
  <c r="AQ47" i="2" s="1"/>
  <c r="AR53" i="2"/>
  <c r="AQ53" i="2" s="1"/>
  <c r="AR54" i="2"/>
  <c r="AQ54" i="2" s="1"/>
  <c r="AR57" i="2"/>
  <c r="AQ57" i="2" s="1"/>
  <c r="AR48" i="2"/>
  <c r="AQ48" i="2" s="1"/>
  <c r="AR52" i="2"/>
  <c r="AQ52" i="2" s="1"/>
  <c r="AR58" i="2"/>
  <c r="AQ58" i="2" s="1"/>
  <c r="AR59" i="2"/>
  <c r="AQ59" i="2" s="1"/>
  <c r="AR62" i="2"/>
  <c r="AQ62" i="2" s="1"/>
  <c r="AR63" i="2"/>
  <c r="AQ63" i="2" s="1"/>
  <c r="AR60" i="2"/>
  <c r="AQ60" i="2" s="1"/>
  <c r="AR61" i="2"/>
  <c r="AQ61" i="2" s="1"/>
  <c r="AR50" i="2"/>
  <c r="AQ50" i="2" s="1"/>
  <c r="AR51" i="2"/>
  <c r="AQ51" i="2" s="1"/>
  <c r="BZ47" i="2"/>
  <c r="BY47" i="2" s="1"/>
  <c r="BZ51" i="2"/>
  <c r="BY51" i="2" s="1"/>
  <c r="BZ52" i="2"/>
  <c r="BY52" i="2" s="1"/>
  <c r="BZ53" i="2"/>
  <c r="BY53" i="2" s="1"/>
  <c r="BZ56" i="2"/>
  <c r="BY56" i="2" s="1"/>
  <c r="BZ63" i="2"/>
  <c r="BY63" i="2" s="1"/>
  <c r="BZ58" i="2"/>
  <c r="BY58" i="2" s="1"/>
  <c r="BZ48" i="2"/>
  <c r="BY48" i="2" s="1"/>
  <c r="BZ49" i="2"/>
  <c r="BY49" i="2" s="1"/>
  <c r="BZ54" i="2"/>
  <c r="BY54" i="2" s="1"/>
  <c r="BZ57" i="2"/>
  <c r="BY57" i="2" s="1"/>
  <c r="BZ59" i="2"/>
  <c r="BY59" i="2" s="1"/>
  <c r="BZ61" i="2"/>
  <c r="BY61" i="2" s="1"/>
  <c r="BZ62" i="2"/>
  <c r="BY62" i="2" s="1"/>
  <c r="BZ50" i="2"/>
  <c r="BY50" i="2" s="1"/>
  <c r="BZ55" i="2"/>
  <c r="BY55" i="2" s="1"/>
  <c r="BZ60" i="2"/>
  <c r="BY60" i="2" s="1"/>
  <c r="BX37" i="2"/>
  <c r="BW37" i="2" s="1"/>
  <c r="BX47" i="2"/>
  <c r="BW47" i="2" s="1"/>
  <c r="BX49" i="2"/>
  <c r="BW49" i="2" s="1"/>
  <c r="BX55" i="2"/>
  <c r="BW55" i="2" s="1"/>
  <c r="BX56" i="2"/>
  <c r="BW56" i="2" s="1"/>
  <c r="BX58" i="2"/>
  <c r="BW58" i="2" s="1"/>
  <c r="BX59" i="2"/>
  <c r="BW59" i="2" s="1"/>
  <c r="BX60" i="2"/>
  <c r="BW60" i="2" s="1"/>
  <c r="BX63" i="2"/>
  <c r="BW63" i="2" s="1"/>
  <c r="BX50" i="2"/>
  <c r="BW50" i="2" s="1"/>
  <c r="BX52" i="2"/>
  <c r="BW52" i="2" s="1"/>
  <c r="BX61" i="2"/>
  <c r="BW61" i="2" s="1"/>
  <c r="BX48" i="2"/>
  <c r="BW48" i="2" s="1"/>
  <c r="BX53" i="2"/>
  <c r="BW53" i="2" s="1"/>
  <c r="BX54" i="2"/>
  <c r="BW54" i="2" s="1"/>
  <c r="BX57" i="2"/>
  <c r="BW57" i="2" s="1"/>
  <c r="BX62" i="2"/>
  <c r="BW62" i="2" s="1"/>
  <c r="BX51" i="2"/>
  <c r="BW51" i="2" s="1"/>
  <c r="BV51" i="2"/>
  <c r="BU51" i="2" s="1"/>
  <c r="BV52" i="2"/>
  <c r="BU52" i="2" s="1"/>
  <c r="BV53" i="2"/>
  <c r="BU53" i="2" s="1"/>
  <c r="BV47" i="2"/>
  <c r="BU47" i="2" s="1"/>
  <c r="BV54" i="2"/>
  <c r="BU54" i="2" s="1"/>
  <c r="BV55" i="2"/>
  <c r="BU55" i="2" s="1"/>
  <c r="BV58" i="2"/>
  <c r="BU58" i="2" s="1"/>
  <c r="BV62" i="2"/>
  <c r="BU62" i="2" s="1"/>
  <c r="BV63" i="2"/>
  <c r="BU63" i="2" s="1"/>
  <c r="BV48" i="2"/>
  <c r="BU48" i="2" s="1"/>
  <c r="BV57" i="2"/>
  <c r="BU57" i="2" s="1"/>
  <c r="BV61" i="2"/>
  <c r="BU61" i="2" s="1"/>
  <c r="BV49" i="2"/>
  <c r="BU49" i="2" s="1"/>
  <c r="BV50" i="2"/>
  <c r="BU50" i="2" s="1"/>
  <c r="BV56" i="2"/>
  <c r="BU56" i="2" s="1"/>
  <c r="BV59" i="2"/>
  <c r="BU59" i="2" s="1"/>
  <c r="BV60" i="2"/>
  <c r="BU60" i="2" s="1"/>
  <c r="BP45" i="2"/>
  <c r="BO45" i="2" s="1"/>
  <c r="BP48" i="2"/>
  <c r="BO48" i="2" s="1"/>
  <c r="BP49" i="2"/>
  <c r="BO49" i="2" s="1"/>
  <c r="BP55" i="2"/>
  <c r="BO55" i="2" s="1"/>
  <c r="BP56" i="2"/>
  <c r="BO56" i="2" s="1"/>
  <c r="BP58" i="2"/>
  <c r="BO58" i="2" s="1"/>
  <c r="BP59" i="2"/>
  <c r="BO59" i="2" s="1"/>
  <c r="BP60" i="2"/>
  <c r="BO60" i="2" s="1"/>
  <c r="BP63" i="2"/>
  <c r="BO63" i="2" s="1"/>
  <c r="BP52" i="2"/>
  <c r="BO52" i="2" s="1"/>
  <c r="BP61" i="2"/>
  <c r="BO61" i="2" s="1"/>
  <c r="BP50" i="2"/>
  <c r="BO50" i="2" s="1"/>
  <c r="BP51" i="2"/>
  <c r="BO51" i="2" s="1"/>
  <c r="BP53" i="2"/>
  <c r="BO53" i="2" s="1"/>
  <c r="BP54" i="2"/>
  <c r="BO54" i="2" s="1"/>
  <c r="BP57" i="2"/>
  <c r="BO57" i="2" s="1"/>
  <c r="BP62" i="2"/>
  <c r="BO62" i="2" s="1"/>
  <c r="BP47" i="2"/>
  <c r="BO47" i="2" s="1"/>
  <c r="AD37" i="1"/>
  <c r="AC37" i="1" s="1"/>
  <c r="AD38" i="1"/>
  <c r="AC38" i="1" s="1"/>
  <c r="AD36" i="1"/>
  <c r="AC36" i="1" s="1"/>
  <c r="K116" i="1"/>
  <c r="K115" i="1"/>
  <c r="K113" i="1"/>
  <c r="K114" i="1"/>
  <c r="K108" i="1"/>
  <c r="M108" i="1" s="1"/>
  <c r="K111" i="1"/>
  <c r="M111" i="1" s="1"/>
  <c r="K112" i="1"/>
  <c r="M112" i="1" s="1"/>
  <c r="K109" i="1"/>
  <c r="M109" i="1" s="1"/>
  <c r="K110" i="1"/>
  <c r="M110" i="1" s="1"/>
  <c r="E103" i="2"/>
  <c r="D103" i="2"/>
  <c r="H105" i="2"/>
  <c r="K107" i="1"/>
  <c r="M107" i="1" s="1"/>
  <c r="K103" i="1"/>
  <c r="K106" i="1"/>
  <c r="M106" i="1" s="1"/>
  <c r="K102" i="1"/>
  <c r="K105" i="1"/>
  <c r="M105" i="1" s="1"/>
  <c r="K104" i="1"/>
  <c r="M104" i="1" s="1"/>
  <c r="O88" i="1"/>
  <c r="K101" i="1"/>
  <c r="M74" i="1"/>
  <c r="AR6" i="2"/>
  <c r="AQ6" i="2" s="1"/>
  <c r="AR7" i="2"/>
  <c r="AQ7" i="2" s="1"/>
  <c r="BV43" i="2"/>
  <c r="BU43" i="2" s="1"/>
  <c r="BV4" i="2"/>
  <c r="BU4" i="2" s="1"/>
  <c r="O87" i="1"/>
  <c r="K99" i="1"/>
  <c r="BV9" i="2"/>
  <c r="BU9" i="2" s="1"/>
  <c r="AB33" i="2"/>
  <c r="BZ35" i="2"/>
  <c r="BY35" i="2" s="1"/>
  <c r="AZ14" i="2"/>
  <c r="AY14" i="2" s="1"/>
  <c r="AB37" i="2"/>
  <c r="BX14" i="2"/>
  <c r="BW14" i="2" s="1"/>
  <c r="AZ18" i="2"/>
  <c r="AY18" i="2" s="1"/>
  <c r="AB29" i="2"/>
  <c r="AC29" i="2" s="1"/>
  <c r="BH18" i="2"/>
  <c r="BG18" i="2" s="1"/>
  <c r="AB25" i="2"/>
  <c r="BH14" i="2"/>
  <c r="BG14" i="2" s="1"/>
  <c r="AC36" i="2"/>
  <c r="AD7" i="2"/>
  <c r="AD8" i="2" s="1"/>
  <c r="BV16" i="2"/>
  <c r="BU16" i="2" s="1"/>
  <c r="BP18" i="2"/>
  <c r="BO18" i="2" s="1"/>
  <c r="BV19" i="2"/>
  <c r="BU19" i="2" s="1"/>
  <c r="AB35" i="2"/>
  <c r="AB39" i="2"/>
  <c r="BZ11" i="2"/>
  <c r="BY11" i="2" s="1"/>
  <c r="BZ16" i="2"/>
  <c r="BY16" i="2" s="1"/>
  <c r="BX18" i="2"/>
  <c r="BW18" i="2" s="1"/>
  <c r="BV20" i="2"/>
  <c r="BU20" i="2" s="1"/>
  <c r="BZ9" i="2"/>
  <c r="BY9" i="2" s="1"/>
  <c r="BP14" i="2"/>
  <c r="BO14" i="2" s="1"/>
  <c r="BV24" i="2"/>
  <c r="BU24" i="2" s="1"/>
  <c r="BX33" i="2"/>
  <c r="BW33" i="2" s="1"/>
  <c r="AR4" i="2"/>
  <c r="AQ4" i="2" s="1"/>
  <c r="BH4" i="2"/>
  <c r="BG4" i="2" s="1"/>
  <c r="BX4" i="2"/>
  <c r="BW4" i="2" s="1"/>
  <c r="BV5" i="2"/>
  <c r="BU5" i="2" s="1"/>
  <c r="AZ7" i="2"/>
  <c r="AY7" i="2" s="1"/>
  <c r="BH7" i="2"/>
  <c r="BG7" i="2" s="1"/>
  <c r="BP7" i="2"/>
  <c r="BO7" i="2" s="1"/>
  <c r="BX7" i="2"/>
  <c r="BW7" i="2" s="1"/>
  <c r="AR8" i="2"/>
  <c r="AQ8" i="2" s="1"/>
  <c r="BZ117" i="2"/>
  <c r="BY117" i="2" s="1"/>
  <c r="BZ115" i="2"/>
  <c r="BY115" i="2" s="1"/>
  <c r="BZ118" i="2"/>
  <c r="BY118" i="2" s="1"/>
  <c r="BZ116" i="2"/>
  <c r="BY116" i="2" s="1"/>
  <c r="BZ114" i="2"/>
  <c r="BY114" i="2" s="1"/>
  <c r="BZ109" i="2"/>
  <c r="BY109" i="2" s="1"/>
  <c r="BZ110" i="2"/>
  <c r="BY110" i="2" s="1"/>
  <c r="BZ104" i="2"/>
  <c r="BY104" i="2" s="1"/>
  <c r="BZ108" i="2"/>
  <c r="BY108" i="2" s="1"/>
  <c r="BZ105" i="2"/>
  <c r="BY105" i="2" s="1"/>
  <c r="BZ103" i="2"/>
  <c r="BY103" i="2" s="1"/>
  <c r="BZ98" i="2"/>
  <c r="BY98" i="2" s="1"/>
  <c r="BZ94" i="2"/>
  <c r="BY94" i="2" s="1"/>
  <c r="BZ107" i="2"/>
  <c r="BY107" i="2" s="1"/>
  <c r="BZ106" i="2"/>
  <c r="BY106" i="2" s="1"/>
  <c r="BZ102" i="2"/>
  <c r="BY102" i="2" s="1"/>
  <c r="BZ100" i="2"/>
  <c r="BY100" i="2" s="1"/>
  <c r="BZ92" i="2"/>
  <c r="BY92" i="2" s="1"/>
  <c r="BZ101" i="2"/>
  <c r="BY101" i="2" s="1"/>
  <c r="BZ97" i="2"/>
  <c r="BY97" i="2" s="1"/>
  <c r="BZ95" i="2"/>
  <c r="BY95" i="2" s="1"/>
  <c r="BZ88" i="2"/>
  <c r="BY88" i="2" s="1"/>
  <c r="BZ87" i="2"/>
  <c r="BY87" i="2" s="1"/>
  <c r="BZ85" i="2"/>
  <c r="BY85" i="2" s="1"/>
  <c r="BZ83" i="2"/>
  <c r="BY83" i="2" s="1"/>
  <c r="BZ96" i="2"/>
  <c r="BY96" i="2" s="1"/>
  <c r="BZ90" i="2"/>
  <c r="BY90" i="2" s="1"/>
  <c r="BZ91" i="2"/>
  <c r="BY91" i="2" s="1"/>
  <c r="BZ86" i="2"/>
  <c r="BY86" i="2" s="1"/>
  <c r="BZ84" i="2"/>
  <c r="BY84" i="2" s="1"/>
  <c r="BZ82" i="2"/>
  <c r="BY82" i="2" s="1"/>
  <c r="BZ93" i="2"/>
  <c r="BY93" i="2" s="1"/>
  <c r="BZ78" i="2"/>
  <c r="BY78" i="2" s="1"/>
  <c r="BZ76" i="2"/>
  <c r="BY76" i="2" s="1"/>
  <c r="BZ73" i="2"/>
  <c r="BY73" i="2" s="1"/>
  <c r="BZ68" i="2"/>
  <c r="BY68" i="2" s="1"/>
  <c r="BZ67" i="2"/>
  <c r="BY67" i="2" s="1"/>
  <c r="BZ64" i="2"/>
  <c r="BY64" i="2" s="1"/>
  <c r="BZ89" i="2"/>
  <c r="BY89" i="2" s="1"/>
  <c r="BZ79" i="2"/>
  <c r="BY79" i="2" s="1"/>
  <c r="BZ66" i="2"/>
  <c r="BY66" i="2" s="1"/>
  <c r="BZ74" i="2"/>
  <c r="BY74" i="2" s="1"/>
  <c r="BZ77" i="2"/>
  <c r="BY77" i="2" s="1"/>
  <c r="BZ69" i="2"/>
  <c r="BY69" i="2" s="1"/>
  <c r="BZ99" i="2"/>
  <c r="BY99" i="2" s="1"/>
  <c r="BZ81" i="2"/>
  <c r="BY81" i="2" s="1"/>
  <c r="BZ75" i="2"/>
  <c r="BY75" i="2" s="1"/>
  <c r="BZ65" i="2"/>
  <c r="BY65" i="2" s="1"/>
  <c r="BZ70" i="2"/>
  <c r="BY70" i="2" s="1"/>
  <c r="BZ44" i="2"/>
  <c r="BY44" i="2" s="1"/>
  <c r="BZ38" i="2"/>
  <c r="BY38" i="2" s="1"/>
  <c r="BZ34" i="2"/>
  <c r="BY34" i="2" s="1"/>
  <c r="BZ30" i="2"/>
  <c r="BY30" i="2" s="1"/>
  <c r="BZ26" i="2"/>
  <c r="BY26" i="2" s="1"/>
  <c r="BZ22" i="2"/>
  <c r="BY22" i="2" s="1"/>
  <c r="BZ13" i="2"/>
  <c r="BY13" i="2" s="1"/>
  <c r="BZ6" i="2"/>
  <c r="BY6" i="2" s="1"/>
  <c r="BZ7" i="2"/>
  <c r="BY7" i="2" s="1"/>
  <c r="BZ45" i="2"/>
  <c r="BY45" i="2" s="1"/>
  <c r="BZ37" i="2"/>
  <c r="BY37" i="2" s="1"/>
  <c r="BZ33" i="2"/>
  <c r="BY33" i="2" s="1"/>
  <c r="BZ29" i="2"/>
  <c r="BY29" i="2" s="1"/>
  <c r="BZ25" i="2"/>
  <c r="BY25" i="2" s="1"/>
  <c r="BZ21" i="2"/>
  <c r="BY21" i="2" s="1"/>
  <c r="BZ18" i="2"/>
  <c r="BY18" i="2" s="1"/>
  <c r="BZ14" i="2"/>
  <c r="BY14" i="2" s="1"/>
  <c r="BZ12" i="2"/>
  <c r="BY12" i="2" s="1"/>
  <c r="BZ8" i="2"/>
  <c r="BY8" i="2" s="1"/>
  <c r="BZ80" i="2"/>
  <c r="BY80" i="2" s="1"/>
  <c r="BZ71" i="2"/>
  <c r="BY71" i="2" s="1"/>
  <c r="BZ42" i="2"/>
  <c r="BY42" i="2" s="1"/>
  <c r="BZ41" i="2"/>
  <c r="BY41" i="2" s="1"/>
  <c r="BZ36" i="2"/>
  <c r="BY36" i="2" s="1"/>
  <c r="BZ32" i="2"/>
  <c r="BY32" i="2" s="1"/>
  <c r="BZ10" i="2"/>
  <c r="BY10" i="2" s="1"/>
  <c r="AR12" i="2"/>
  <c r="AQ12" i="2" s="1"/>
  <c r="AZ13" i="2"/>
  <c r="AY13" i="2" s="1"/>
  <c r="BH13" i="2"/>
  <c r="BG13" i="2" s="1"/>
  <c r="BP13" i="2"/>
  <c r="BO13" i="2" s="1"/>
  <c r="BX13" i="2"/>
  <c r="BW13" i="2" s="1"/>
  <c r="BZ15" i="2"/>
  <c r="BY15" i="2" s="1"/>
  <c r="AR21" i="2"/>
  <c r="AQ21" i="2" s="1"/>
  <c r="AB22" i="2"/>
  <c r="AZ22" i="2"/>
  <c r="AY22" i="2" s="1"/>
  <c r="BH22" i="2"/>
  <c r="BG22" i="2" s="1"/>
  <c r="BP22" i="2"/>
  <c r="BO22" i="2" s="1"/>
  <c r="BX22" i="2"/>
  <c r="BW22" i="2" s="1"/>
  <c r="BV23" i="2"/>
  <c r="BU23" i="2" s="1"/>
  <c r="AR25" i="2"/>
  <c r="AQ25" i="2" s="1"/>
  <c r="AB26" i="2"/>
  <c r="AZ26" i="2"/>
  <c r="AY26" i="2" s="1"/>
  <c r="BP26" i="2"/>
  <c r="BO26" i="2" s="1"/>
  <c r="BX26" i="2"/>
  <c r="BW26" i="2" s="1"/>
  <c r="BV27" i="2"/>
  <c r="BU27" i="2" s="1"/>
  <c r="AR29" i="2"/>
  <c r="AQ29" i="2" s="1"/>
  <c r="BZ31" i="2"/>
  <c r="BY31" i="2" s="1"/>
  <c r="BV39" i="2"/>
  <c r="BU39" i="2" s="1"/>
  <c r="AZ45" i="2"/>
  <c r="AY45" i="2" s="1"/>
  <c r="BX92" i="2"/>
  <c r="BW92" i="2" s="1"/>
  <c r="BP118" i="2"/>
  <c r="BO118" i="2" s="1"/>
  <c r="BP116" i="2"/>
  <c r="BO116" i="2" s="1"/>
  <c r="BP114" i="2"/>
  <c r="BO114" i="2" s="1"/>
  <c r="BP117" i="2"/>
  <c r="BO117" i="2" s="1"/>
  <c r="BP115" i="2"/>
  <c r="BO115" i="2" s="1"/>
  <c r="BP107" i="2"/>
  <c r="BO107" i="2" s="1"/>
  <c r="BP108" i="2"/>
  <c r="BO108" i="2" s="1"/>
  <c r="BP106" i="2"/>
  <c r="BO106" i="2" s="1"/>
  <c r="BP102" i="2"/>
  <c r="BO102" i="2" s="1"/>
  <c r="BP110" i="2"/>
  <c r="BO110" i="2" s="1"/>
  <c r="BP109" i="2"/>
  <c r="BO109" i="2" s="1"/>
  <c r="BP100" i="2"/>
  <c r="BO100" i="2" s="1"/>
  <c r="BP95" i="2"/>
  <c r="BO95" i="2" s="1"/>
  <c r="BP101" i="2"/>
  <c r="BO101" i="2" s="1"/>
  <c r="BP105" i="2"/>
  <c r="BO105" i="2" s="1"/>
  <c r="BP104" i="2"/>
  <c r="BO104" i="2" s="1"/>
  <c r="BP98" i="2"/>
  <c r="BO98" i="2" s="1"/>
  <c r="BP93" i="2"/>
  <c r="BO93" i="2" s="1"/>
  <c r="BP88" i="2"/>
  <c r="BO88" i="2" s="1"/>
  <c r="BP86" i="2"/>
  <c r="BO86" i="2" s="1"/>
  <c r="BP84" i="2"/>
  <c r="BO84" i="2" s="1"/>
  <c r="BP99" i="2"/>
  <c r="BO99" i="2" s="1"/>
  <c r="BP97" i="2"/>
  <c r="BO97" i="2" s="1"/>
  <c r="BP92" i="2"/>
  <c r="BO92" i="2" s="1"/>
  <c r="BP91" i="2"/>
  <c r="BO91" i="2" s="1"/>
  <c r="BP90" i="2"/>
  <c r="BO90" i="2" s="1"/>
  <c r="BP103" i="2"/>
  <c r="BO103" i="2" s="1"/>
  <c r="BP96" i="2"/>
  <c r="BO96" i="2" s="1"/>
  <c r="BP89" i="2"/>
  <c r="BO89" i="2" s="1"/>
  <c r="BP87" i="2"/>
  <c r="BO87" i="2" s="1"/>
  <c r="BP85" i="2"/>
  <c r="BO85" i="2" s="1"/>
  <c r="BP83" i="2"/>
  <c r="BO83" i="2" s="1"/>
  <c r="BP80" i="2"/>
  <c r="BO80" i="2" s="1"/>
  <c r="BP75" i="2"/>
  <c r="BO75" i="2" s="1"/>
  <c r="BP74" i="2"/>
  <c r="BO74" i="2" s="1"/>
  <c r="BP70" i="2"/>
  <c r="BO70" i="2" s="1"/>
  <c r="BP82" i="2"/>
  <c r="BO82" i="2" s="1"/>
  <c r="BP81" i="2"/>
  <c r="BO81" i="2" s="1"/>
  <c r="BP77" i="2"/>
  <c r="BO77" i="2" s="1"/>
  <c r="BP72" i="2"/>
  <c r="BO72" i="2" s="1"/>
  <c r="BP71" i="2"/>
  <c r="BO71" i="2" s="1"/>
  <c r="BP69" i="2"/>
  <c r="BO69" i="2" s="1"/>
  <c r="BP65" i="2"/>
  <c r="BO65" i="2" s="1"/>
  <c r="BP76" i="2"/>
  <c r="BO76" i="2" s="1"/>
  <c r="BP73" i="2"/>
  <c r="BO73" i="2" s="1"/>
  <c r="BP67" i="2"/>
  <c r="BO67" i="2" s="1"/>
  <c r="BP64" i="2"/>
  <c r="BO64" i="2" s="1"/>
  <c r="BP46" i="2"/>
  <c r="BO46" i="2" s="1"/>
  <c r="BP94" i="2"/>
  <c r="BO94" i="2" s="1"/>
  <c r="BP79" i="2"/>
  <c r="BO79" i="2" s="1"/>
  <c r="BP78" i="2"/>
  <c r="BO78" i="2" s="1"/>
  <c r="BP68" i="2"/>
  <c r="BO68" i="2" s="1"/>
  <c r="BP42" i="2"/>
  <c r="BO42" i="2" s="1"/>
  <c r="BP41" i="2"/>
  <c r="BO41" i="2" s="1"/>
  <c r="BP36" i="2"/>
  <c r="BO36" i="2" s="1"/>
  <c r="BP32" i="2"/>
  <c r="BO32" i="2" s="1"/>
  <c r="BP28" i="2"/>
  <c r="BO28" i="2" s="1"/>
  <c r="BP24" i="2"/>
  <c r="BO24" i="2" s="1"/>
  <c r="BP20" i="2"/>
  <c r="BO20" i="2" s="1"/>
  <c r="BP15" i="2"/>
  <c r="BO15" i="2" s="1"/>
  <c r="BP10" i="2"/>
  <c r="BO10" i="2" s="1"/>
  <c r="BP5" i="2"/>
  <c r="BO5" i="2" s="1"/>
  <c r="BP43" i="2"/>
  <c r="BO43" i="2" s="1"/>
  <c r="BP40" i="2"/>
  <c r="BO40" i="2" s="1"/>
  <c r="BP39" i="2"/>
  <c r="BO39" i="2" s="1"/>
  <c r="BP35" i="2"/>
  <c r="BO35" i="2" s="1"/>
  <c r="BP31" i="2"/>
  <c r="BO31" i="2" s="1"/>
  <c r="BP27" i="2"/>
  <c r="BO27" i="2" s="1"/>
  <c r="BP23" i="2"/>
  <c r="BO23" i="2" s="1"/>
  <c r="BP19" i="2"/>
  <c r="BO19" i="2" s="1"/>
  <c r="BP16" i="2"/>
  <c r="BO16" i="2" s="1"/>
  <c r="BP11" i="2"/>
  <c r="BO11" i="2" s="1"/>
  <c r="BP9" i="2"/>
  <c r="BO9" i="2" s="1"/>
  <c r="BP44" i="2"/>
  <c r="BO44" i="2" s="1"/>
  <c r="BP38" i="2"/>
  <c r="BO38" i="2" s="1"/>
  <c r="BP34" i="2"/>
  <c r="BO34" i="2" s="1"/>
  <c r="BH118" i="2"/>
  <c r="BG118" i="2" s="1"/>
  <c r="BH116" i="2"/>
  <c r="BG116" i="2" s="1"/>
  <c r="BH114" i="2"/>
  <c r="BG114" i="2" s="1"/>
  <c r="BH117" i="2"/>
  <c r="BG117" i="2" s="1"/>
  <c r="BH115" i="2"/>
  <c r="BG115" i="2" s="1"/>
  <c r="BH107" i="2"/>
  <c r="BG107" i="2" s="1"/>
  <c r="BH108" i="2"/>
  <c r="BG108" i="2" s="1"/>
  <c r="BH106" i="2"/>
  <c r="BG106" i="2" s="1"/>
  <c r="BH102" i="2"/>
  <c r="BG102" i="2" s="1"/>
  <c r="BH110" i="2"/>
  <c r="BG110" i="2" s="1"/>
  <c r="BH109" i="2"/>
  <c r="BG109" i="2" s="1"/>
  <c r="BH100" i="2"/>
  <c r="BG100" i="2" s="1"/>
  <c r="BH95" i="2"/>
  <c r="BG95" i="2" s="1"/>
  <c r="BH103" i="2"/>
  <c r="BG103" i="2" s="1"/>
  <c r="BH101" i="2"/>
  <c r="BG101" i="2" s="1"/>
  <c r="BH105" i="2"/>
  <c r="BG105" i="2" s="1"/>
  <c r="BH97" i="2"/>
  <c r="BG97" i="2" s="1"/>
  <c r="BH93" i="2"/>
  <c r="BG93" i="2" s="1"/>
  <c r="BH94" i="2"/>
  <c r="BG94" i="2" s="1"/>
  <c r="BH89" i="2"/>
  <c r="BG89" i="2" s="1"/>
  <c r="BH86" i="2"/>
  <c r="BG86" i="2" s="1"/>
  <c r="BH84" i="2"/>
  <c r="BG84" i="2" s="1"/>
  <c r="BH104" i="2"/>
  <c r="BG104" i="2" s="1"/>
  <c r="BH99" i="2"/>
  <c r="BG99" i="2" s="1"/>
  <c r="BH98" i="2"/>
  <c r="BG98" i="2" s="1"/>
  <c r="BH88" i="2"/>
  <c r="BG88" i="2" s="1"/>
  <c r="BH87" i="2"/>
  <c r="BG87" i="2" s="1"/>
  <c r="BH85" i="2"/>
  <c r="BG85" i="2" s="1"/>
  <c r="BH83" i="2"/>
  <c r="BG83" i="2" s="1"/>
  <c r="BH80" i="2"/>
  <c r="BG80" i="2" s="1"/>
  <c r="BH75" i="2"/>
  <c r="BG75" i="2" s="1"/>
  <c r="BH74" i="2"/>
  <c r="BG74" i="2" s="1"/>
  <c r="BH70" i="2"/>
  <c r="BG70" i="2" s="1"/>
  <c r="BH91" i="2"/>
  <c r="BG91" i="2" s="1"/>
  <c r="BH81" i="2"/>
  <c r="BG81" i="2" s="1"/>
  <c r="BH77" i="2"/>
  <c r="BG77" i="2" s="1"/>
  <c r="BH72" i="2"/>
  <c r="BG72" i="2" s="1"/>
  <c r="BH71" i="2"/>
  <c r="BG71" i="2" s="1"/>
  <c r="BH69" i="2"/>
  <c r="BG69" i="2" s="1"/>
  <c r="BH65" i="2"/>
  <c r="BG65" i="2" s="1"/>
  <c r="BH92" i="2"/>
  <c r="BG92" i="2" s="1"/>
  <c r="BH76" i="2"/>
  <c r="BG76" i="2" s="1"/>
  <c r="BH73" i="2"/>
  <c r="BG73" i="2" s="1"/>
  <c r="BH67" i="2"/>
  <c r="BG67" i="2" s="1"/>
  <c r="BH64" i="2"/>
  <c r="BG64" i="2" s="1"/>
  <c r="BH46" i="2"/>
  <c r="BG46" i="2" s="1"/>
  <c r="BH96" i="2"/>
  <c r="BG96" i="2" s="1"/>
  <c r="BH79" i="2"/>
  <c r="BG79" i="2" s="1"/>
  <c r="BH78" i="2"/>
  <c r="BG78" i="2" s="1"/>
  <c r="BH66" i="2"/>
  <c r="BG66" i="2" s="1"/>
  <c r="BH42" i="2"/>
  <c r="BG42" i="2" s="1"/>
  <c r="BH41" i="2"/>
  <c r="BG41" i="2" s="1"/>
  <c r="BH36" i="2"/>
  <c r="BG36" i="2" s="1"/>
  <c r="BH32" i="2"/>
  <c r="BG32" i="2" s="1"/>
  <c r="BH28" i="2"/>
  <c r="BG28" i="2" s="1"/>
  <c r="BH24" i="2"/>
  <c r="BG24" i="2" s="1"/>
  <c r="BH20" i="2"/>
  <c r="BG20" i="2" s="1"/>
  <c r="BH15" i="2"/>
  <c r="BG15" i="2" s="1"/>
  <c r="BH10" i="2"/>
  <c r="BG10" i="2" s="1"/>
  <c r="BH5" i="2"/>
  <c r="BG5" i="2" s="1"/>
  <c r="BH82" i="2"/>
  <c r="BG82" i="2" s="1"/>
  <c r="BH68" i="2"/>
  <c r="BG68" i="2" s="1"/>
  <c r="BH43" i="2"/>
  <c r="BG43" i="2" s="1"/>
  <c r="BH40" i="2"/>
  <c r="BG40" i="2" s="1"/>
  <c r="BH39" i="2"/>
  <c r="BG39" i="2" s="1"/>
  <c r="BH35" i="2"/>
  <c r="BG35" i="2" s="1"/>
  <c r="BH31" i="2"/>
  <c r="BG31" i="2" s="1"/>
  <c r="BH27" i="2"/>
  <c r="BG27" i="2" s="1"/>
  <c r="BH23" i="2"/>
  <c r="BG23" i="2" s="1"/>
  <c r="BH19" i="2"/>
  <c r="BG19" i="2" s="1"/>
  <c r="BH16" i="2"/>
  <c r="BG16" i="2" s="1"/>
  <c r="BH11" i="2"/>
  <c r="BG11" i="2" s="1"/>
  <c r="BH9" i="2"/>
  <c r="BG9" i="2" s="1"/>
  <c r="BH90" i="2"/>
  <c r="BG90" i="2" s="1"/>
  <c r="BH44" i="2"/>
  <c r="BG44" i="2" s="1"/>
  <c r="BH38" i="2"/>
  <c r="BG38" i="2" s="1"/>
  <c r="BH34" i="2"/>
  <c r="BG34" i="2" s="1"/>
  <c r="BV28" i="2"/>
  <c r="BU28" i="2" s="1"/>
  <c r="BH33" i="2"/>
  <c r="BG33" i="2" s="1"/>
  <c r="AR118" i="2"/>
  <c r="AQ118" i="2" s="1"/>
  <c r="AR116" i="2"/>
  <c r="AQ116" i="2" s="1"/>
  <c r="AR114" i="2"/>
  <c r="AQ114" i="2" s="1"/>
  <c r="AR117" i="2"/>
  <c r="AQ117" i="2" s="1"/>
  <c r="AR115" i="2"/>
  <c r="AQ115" i="2" s="1"/>
  <c r="AR107" i="2"/>
  <c r="AQ107" i="2" s="1"/>
  <c r="AR108" i="2"/>
  <c r="AQ108" i="2" s="1"/>
  <c r="AR106" i="2"/>
  <c r="AQ106" i="2" s="1"/>
  <c r="AR110" i="2"/>
  <c r="AQ110" i="2" s="1"/>
  <c r="AR109" i="2"/>
  <c r="AQ109" i="2" s="1"/>
  <c r="AR100" i="2"/>
  <c r="AQ100" i="2" s="1"/>
  <c r="AR95" i="2"/>
  <c r="AQ95" i="2" s="1"/>
  <c r="AR103" i="2"/>
  <c r="AQ103" i="2" s="1"/>
  <c r="AR101" i="2"/>
  <c r="AQ101" i="2" s="1"/>
  <c r="AR102" i="2"/>
  <c r="AQ102" i="2" s="1"/>
  <c r="AR97" i="2"/>
  <c r="AQ97" i="2" s="1"/>
  <c r="AR93" i="2"/>
  <c r="AQ93" i="2" s="1"/>
  <c r="AR105" i="2"/>
  <c r="AQ105" i="2" s="1"/>
  <c r="AR96" i="2"/>
  <c r="AQ96" i="2" s="1"/>
  <c r="AR89" i="2"/>
  <c r="AQ89" i="2" s="1"/>
  <c r="AR86" i="2"/>
  <c r="AQ86" i="2" s="1"/>
  <c r="AR84" i="2"/>
  <c r="AQ84" i="2" s="1"/>
  <c r="AR94" i="2"/>
  <c r="AQ94" i="2" s="1"/>
  <c r="AR99" i="2"/>
  <c r="AQ99" i="2" s="1"/>
  <c r="AR98" i="2"/>
  <c r="AQ98" i="2" s="1"/>
  <c r="AR88" i="2"/>
  <c r="AQ88" i="2" s="1"/>
  <c r="AR87" i="2"/>
  <c r="AQ87" i="2" s="1"/>
  <c r="AR85" i="2"/>
  <c r="AQ85" i="2" s="1"/>
  <c r="AR83" i="2"/>
  <c r="AQ83" i="2" s="1"/>
  <c r="AR91" i="2"/>
  <c r="AQ91" i="2" s="1"/>
  <c r="AR80" i="2"/>
  <c r="AQ80" i="2" s="1"/>
  <c r="AR75" i="2"/>
  <c r="AQ75" i="2" s="1"/>
  <c r="AR74" i="2"/>
  <c r="AQ74" i="2" s="1"/>
  <c r="AR70" i="2"/>
  <c r="AQ70" i="2" s="1"/>
  <c r="AR104" i="2"/>
  <c r="AQ104" i="2" s="1"/>
  <c r="AR92" i="2"/>
  <c r="AQ92" i="2" s="1"/>
  <c r="AR81" i="2"/>
  <c r="AQ81" i="2" s="1"/>
  <c r="AR77" i="2"/>
  <c r="AQ77" i="2" s="1"/>
  <c r="AR72" i="2"/>
  <c r="AQ72" i="2" s="1"/>
  <c r="AR71" i="2"/>
  <c r="AQ71" i="2" s="1"/>
  <c r="AR69" i="2"/>
  <c r="AQ69" i="2" s="1"/>
  <c r="AR65" i="2"/>
  <c r="AQ65" i="2" s="1"/>
  <c r="AR90" i="2"/>
  <c r="AQ90" i="2" s="1"/>
  <c r="AR76" i="2"/>
  <c r="AQ76" i="2" s="1"/>
  <c r="AR73" i="2"/>
  <c r="AQ73" i="2" s="1"/>
  <c r="AR67" i="2"/>
  <c r="AQ67" i="2" s="1"/>
  <c r="AR64" i="2"/>
  <c r="AQ64" i="2" s="1"/>
  <c r="AR79" i="2"/>
  <c r="AQ79" i="2" s="1"/>
  <c r="AR78" i="2"/>
  <c r="AQ78" i="2" s="1"/>
  <c r="AR42" i="2"/>
  <c r="AQ42" i="2" s="1"/>
  <c r="AR41" i="2"/>
  <c r="AQ41" i="2" s="1"/>
  <c r="AR36" i="2"/>
  <c r="AQ36" i="2" s="1"/>
  <c r="AR32" i="2"/>
  <c r="AQ32" i="2" s="1"/>
  <c r="AR28" i="2"/>
  <c r="AQ28" i="2" s="1"/>
  <c r="AR24" i="2"/>
  <c r="AQ24" i="2" s="1"/>
  <c r="AR20" i="2"/>
  <c r="AQ20" i="2" s="1"/>
  <c r="AR15" i="2"/>
  <c r="AQ15" i="2" s="1"/>
  <c r="AR10" i="2"/>
  <c r="AQ10" i="2" s="1"/>
  <c r="AR5" i="2"/>
  <c r="AQ5" i="2" s="1"/>
  <c r="AR9" i="2"/>
  <c r="AQ9" i="2" s="1"/>
  <c r="AR46" i="2"/>
  <c r="AQ46" i="2" s="1"/>
  <c r="AR43" i="2"/>
  <c r="AQ43" i="2" s="1"/>
  <c r="AR40" i="2"/>
  <c r="AQ40" i="2" s="1"/>
  <c r="AR39" i="2"/>
  <c r="AQ39" i="2" s="1"/>
  <c r="AR35" i="2"/>
  <c r="AQ35" i="2" s="1"/>
  <c r="AR31" i="2"/>
  <c r="AQ31" i="2" s="1"/>
  <c r="AR27" i="2"/>
  <c r="AQ27" i="2" s="1"/>
  <c r="AR23" i="2"/>
  <c r="AQ23" i="2" s="1"/>
  <c r="AR19" i="2"/>
  <c r="AQ19" i="2" s="1"/>
  <c r="AR16" i="2"/>
  <c r="AQ16" i="2" s="1"/>
  <c r="AR11" i="2"/>
  <c r="AQ11" i="2" s="1"/>
  <c r="AR66" i="2"/>
  <c r="AQ66" i="2" s="1"/>
  <c r="AR44" i="2"/>
  <c r="AQ44" i="2" s="1"/>
  <c r="AR38" i="2"/>
  <c r="AQ38" i="2" s="1"/>
  <c r="AR34" i="2"/>
  <c r="AQ34" i="2" s="1"/>
  <c r="BH6" i="2"/>
  <c r="BG6" i="2" s="1"/>
  <c r="BX6" i="2"/>
  <c r="BW6" i="2" s="1"/>
  <c r="AZ8" i="2"/>
  <c r="AY8" i="2" s="1"/>
  <c r="BP8" i="2"/>
  <c r="BO8" i="2" s="1"/>
  <c r="BV11" i="2"/>
  <c r="BU11" i="2" s="1"/>
  <c r="BH12" i="2"/>
  <c r="BG12" i="2" s="1"/>
  <c r="BX12" i="2"/>
  <c r="BW12" i="2" s="1"/>
  <c r="BZ19" i="2"/>
  <c r="BY19" i="2" s="1"/>
  <c r="BZ20" i="2"/>
  <c r="BY20" i="2" s="1"/>
  <c r="AZ21" i="2"/>
  <c r="AY21" i="2" s="1"/>
  <c r="BH21" i="2"/>
  <c r="BG21" i="2" s="1"/>
  <c r="BP21" i="2"/>
  <c r="BO21" i="2" s="1"/>
  <c r="BX21" i="2"/>
  <c r="BW21" i="2" s="1"/>
  <c r="AB23" i="2"/>
  <c r="BZ24" i="2"/>
  <c r="BY24" i="2" s="1"/>
  <c r="AZ25" i="2"/>
  <c r="AY25" i="2" s="1"/>
  <c r="BH25" i="2"/>
  <c r="BG25" i="2" s="1"/>
  <c r="BP25" i="2"/>
  <c r="BO25" i="2" s="1"/>
  <c r="BX25" i="2"/>
  <c r="BW25" i="2" s="1"/>
  <c r="AB27" i="2"/>
  <c r="BZ28" i="2"/>
  <c r="BY28" i="2" s="1"/>
  <c r="AZ29" i="2"/>
  <c r="AY29" i="2" s="1"/>
  <c r="BH29" i="2"/>
  <c r="BG29" i="2" s="1"/>
  <c r="BP29" i="2"/>
  <c r="BO29" i="2" s="1"/>
  <c r="BX29" i="2"/>
  <c r="BW29" i="2" s="1"/>
  <c r="BP33" i="2"/>
  <c r="BO33" i="2" s="1"/>
  <c r="AR37" i="2"/>
  <c r="AQ37" i="2" s="1"/>
  <c r="BH37" i="2"/>
  <c r="BG37" i="2" s="1"/>
  <c r="AC38" i="2"/>
  <c r="AB38" i="2"/>
  <c r="BZ39" i="2"/>
  <c r="BY39" i="2" s="1"/>
  <c r="BV40" i="2"/>
  <c r="BU40" i="2" s="1"/>
  <c r="BZ46" i="2"/>
  <c r="BY46" i="2" s="1"/>
  <c r="AR68" i="2"/>
  <c r="AQ68" i="2" s="1"/>
  <c r="BZ72" i="2"/>
  <c r="BY72" i="2" s="1"/>
  <c r="BX118" i="2"/>
  <c r="BW118" i="2" s="1"/>
  <c r="BX116" i="2"/>
  <c r="BW116" i="2" s="1"/>
  <c r="BX114" i="2"/>
  <c r="BW114" i="2" s="1"/>
  <c r="BX117" i="2"/>
  <c r="BW117" i="2" s="1"/>
  <c r="BX115" i="2"/>
  <c r="BW115" i="2" s="1"/>
  <c r="BX107" i="2"/>
  <c r="BW107" i="2" s="1"/>
  <c r="BX108" i="2"/>
  <c r="BW108" i="2" s="1"/>
  <c r="BX102" i="2"/>
  <c r="BW102" i="2" s="1"/>
  <c r="BX110" i="2"/>
  <c r="BW110" i="2" s="1"/>
  <c r="BX109" i="2"/>
  <c r="BW109" i="2" s="1"/>
  <c r="BX106" i="2"/>
  <c r="BW106" i="2" s="1"/>
  <c r="BX100" i="2"/>
  <c r="BW100" i="2" s="1"/>
  <c r="BX95" i="2"/>
  <c r="BW95" i="2" s="1"/>
  <c r="BX103" i="2"/>
  <c r="BW103" i="2" s="1"/>
  <c r="BX101" i="2"/>
  <c r="BW101" i="2" s="1"/>
  <c r="BX97" i="2"/>
  <c r="BW97" i="2" s="1"/>
  <c r="BX93" i="2"/>
  <c r="BW93" i="2" s="1"/>
  <c r="BX104" i="2"/>
  <c r="BW104" i="2" s="1"/>
  <c r="BX99" i="2"/>
  <c r="BW99" i="2" s="1"/>
  <c r="BX98" i="2"/>
  <c r="BW98" i="2" s="1"/>
  <c r="BX89" i="2"/>
  <c r="BW89" i="2" s="1"/>
  <c r="BX86" i="2"/>
  <c r="BW86" i="2" s="1"/>
  <c r="BX84" i="2"/>
  <c r="BW84" i="2" s="1"/>
  <c r="BX96" i="2"/>
  <c r="BW96" i="2" s="1"/>
  <c r="BX88" i="2"/>
  <c r="BW88" i="2" s="1"/>
  <c r="BX87" i="2"/>
  <c r="BW87" i="2" s="1"/>
  <c r="BX85" i="2"/>
  <c r="BW85" i="2" s="1"/>
  <c r="BX83" i="2"/>
  <c r="BW83" i="2" s="1"/>
  <c r="BX90" i="2"/>
  <c r="BW90" i="2" s="1"/>
  <c r="BX80" i="2"/>
  <c r="BW80" i="2" s="1"/>
  <c r="BX75" i="2"/>
  <c r="BW75" i="2" s="1"/>
  <c r="BX74" i="2"/>
  <c r="BW74" i="2" s="1"/>
  <c r="BX70" i="2"/>
  <c r="BW70" i="2" s="1"/>
  <c r="BX105" i="2"/>
  <c r="BW105" i="2" s="1"/>
  <c r="BX81" i="2"/>
  <c r="BW81" i="2" s="1"/>
  <c r="BX77" i="2"/>
  <c r="BW77" i="2" s="1"/>
  <c r="BX72" i="2"/>
  <c r="BW72" i="2" s="1"/>
  <c r="BX71" i="2"/>
  <c r="BW71" i="2" s="1"/>
  <c r="BX69" i="2"/>
  <c r="BW69" i="2" s="1"/>
  <c r="BX65" i="2"/>
  <c r="BW65" i="2" s="1"/>
  <c r="BX94" i="2"/>
  <c r="BW94" i="2" s="1"/>
  <c r="BX76" i="2"/>
  <c r="BW76" i="2" s="1"/>
  <c r="BX73" i="2"/>
  <c r="BW73" i="2" s="1"/>
  <c r="BX67" i="2"/>
  <c r="BW67" i="2" s="1"/>
  <c r="BX64" i="2"/>
  <c r="BW64" i="2" s="1"/>
  <c r="BX46" i="2"/>
  <c r="BW46" i="2" s="1"/>
  <c r="BX91" i="2"/>
  <c r="BW91" i="2" s="1"/>
  <c r="BX82" i="2"/>
  <c r="BW82" i="2" s="1"/>
  <c r="BX79" i="2"/>
  <c r="BW79" i="2" s="1"/>
  <c r="BX78" i="2"/>
  <c r="BW78" i="2" s="1"/>
  <c r="BX42" i="2"/>
  <c r="BW42" i="2" s="1"/>
  <c r="BX41" i="2"/>
  <c r="BW41" i="2" s="1"/>
  <c r="BX36" i="2"/>
  <c r="BW36" i="2" s="1"/>
  <c r="BX32" i="2"/>
  <c r="BW32" i="2" s="1"/>
  <c r="BX28" i="2"/>
  <c r="BW28" i="2" s="1"/>
  <c r="BX24" i="2"/>
  <c r="BW24" i="2" s="1"/>
  <c r="BX20" i="2"/>
  <c r="BW20" i="2" s="1"/>
  <c r="BX15" i="2"/>
  <c r="BW15" i="2" s="1"/>
  <c r="BX10" i="2"/>
  <c r="BW10" i="2" s="1"/>
  <c r="BX5" i="2"/>
  <c r="BW5" i="2" s="1"/>
  <c r="BX43" i="2"/>
  <c r="BW43" i="2" s="1"/>
  <c r="BX40" i="2"/>
  <c r="BW40" i="2" s="1"/>
  <c r="BX39" i="2"/>
  <c r="BW39" i="2" s="1"/>
  <c r="BX35" i="2"/>
  <c r="BW35" i="2" s="1"/>
  <c r="BX31" i="2"/>
  <c r="BW31" i="2" s="1"/>
  <c r="BX27" i="2"/>
  <c r="BW27" i="2" s="1"/>
  <c r="BX23" i="2"/>
  <c r="BW23" i="2" s="1"/>
  <c r="BX19" i="2"/>
  <c r="BW19" i="2" s="1"/>
  <c r="BX16" i="2"/>
  <c r="BW16" i="2" s="1"/>
  <c r="BX11" i="2"/>
  <c r="BW11" i="2" s="1"/>
  <c r="BX9" i="2"/>
  <c r="BW9" i="2" s="1"/>
  <c r="BX66" i="2"/>
  <c r="BW66" i="2" s="1"/>
  <c r="BX44" i="2"/>
  <c r="BW44" i="2" s="1"/>
  <c r="BX38" i="2"/>
  <c r="BW38" i="2" s="1"/>
  <c r="BX34" i="2"/>
  <c r="BW34" i="2" s="1"/>
  <c r="BV117" i="2"/>
  <c r="BU117" i="2" s="1"/>
  <c r="BV115" i="2"/>
  <c r="BU115" i="2" s="1"/>
  <c r="BV118" i="2"/>
  <c r="BU118" i="2" s="1"/>
  <c r="BV116" i="2"/>
  <c r="BU116" i="2" s="1"/>
  <c r="BV114" i="2"/>
  <c r="BU114" i="2" s="1"/>
  <c r="BV109" i="2"/>
  <c r="BU109" i="2" s="1"/>
  <c r="BV110" i="2"/>
  <c r="BU110" i="2" s="1"/>
  <c r="BV107" i="2"/>
  <c r="BU107" i="2" s="1"/>
  <c r="BV104" i="2"/>
  <c r="BU104" i="2" s="1"/>
  <c r="BV105" i="2"/>
  <c r="BU105" i="2" s="1"/>
  <c r="BV108" i="2"/>
  <c r="BU108" i="2" s="1"/>
  <c r="BV98" i="2"/>
  <c r="BU98" i="2" s="1"/>
  <c r="BV94" i="2"/>
  <c r="BU94" i="2" s="1"/>
  <c r="BV106" i="2"/>
  <c r="BU106" i="2" s="1"/>
  <c r="BV102" i="2"/>
  <c r="BU102" i="2" s="1"/>
  <c r="BV101" i="2"/>
  <c r="BU101" i="2" s="1"/>
  <c r="BV92" i="2"/>
  <c r="BU92" i="2" s="1"/>
  <c r="BV100" i="2"/>
  <c r="BU100" i="2" s="1"/>
  <c r="BV90" i="2"/>
  <c r="BU90" i="2" s="1"/>
  <c r="BV87" i="2"/>
  <c r="BU87" i="2" s="1"/>
  <c r="BV85" i="2"/>
  <c r="BU85" i="2" s="1"/>
  <c r="BV83" i="2"/>
  <c r="BU83" i="2" s="1"/>
  <c r="BV103" i="2"/>
  <c r="BU103" i="2" s="1"/>
  <c r="BV99" i="2"/>
  <c r="BU99" i="2" s="1"/>
  <c r="BV91" i="2"/>
  <c r="BU91" i="2" s="1"/>
  <c r="BV97" i="2"/>
  <c r="BU97" i="2" s="1"/>
  <c r="BV95" i="2"/>
  <c r="BU95" i="2" s="1"/>
  <c r="BV93" i="2"/>
  <c r="BU93" i="2" s="1"/>
  <c r="BV89" i="2"/>
  <c r="BU89" i="2" s="1"/>
  <c r="BV86" i="2"/>
  <c r="BU86" i="2" s="1"/>
  <c r="BV84" i="2"/>
  <c r="BU84" i="2" s="1"/>
  <c r="BV82" i="2"/>
  <c r="BU82" i="2" s="1"/>
  <c r="BV96" i="2"/>
  <c r="BU96" i="2" s="1"/>
  <c r="BV78" i="2"/>
  <c r="BU78" i="2" s="1"/>
  <c r="BV76" i="2"/>
  <c r="BU76" i="2" s="1"/>
  <c r="BV73" i="2"/>
  <c r="BU73" i="2" s="1"/>
  <c r="BV68" i="2"/>
  <c r="BU68" i="2" s="1"/>
  <c r="BV67" i="2"/>
  <c r="BU67" i="2" s="1"/>
  <c r="BV64" i="2"/>
  <c r="BU64" i="2" s="1"/>
  <c r="BV88" i="2"/>
  <c r="BU88" i="2" s="1"/>
  <c r="BV79" i="2"/>
  <c r="BU79" i="2" s="1"/>
  <c r="BV66" i="2"/>
  <c r="BU66" i="2" s="1"/>
  <c r="BV81" i="2"/>
  <c r="BU81" i="2" s="1"/>
  <c r="BV75" i="2"/>
  <c r="BU75" i="2" s="1"/>
  <c r="BV65" i="2"/>
  <c r="BU65" i="2" s="1"/>
  <c r="BV80" i="2"/>
  <c r="BU80" i="2" s="1"/>
  <c r="BV72" i="2"/>
  <c r="BU72" i="2" s="1"/>
  <c r="BV71" i="2"/>
  <c r="BU71" i="2" s="1"/>
  <c r="BV70" i="2"/>
  <c r="BU70" i="2" s="1"/>
  <c r="BV74" i="2"/>
  <c r="BU74" i="2" s="1"/>
  <c r="BV44" i="2"/>
  <c r="BU44" i="2" s="1"/>
  <c r="BV38" i="2"/>
  <c r="BU38" i="2" s="1"/>
  <c r="BV34" i="2"/>
  <c r="BU34" i="2" s="1"/>
  <c r="BV30" i="2"/>
  <c r="BU30" i="2" s="1"/>
  <c r="BV26" i="2"/>
  <c r="BU26" i="2" s="1"/>
  <c r="BV22" i="2"/>
  <c r="BU22" i="2" s="1"/>
  <c r="BV13" i="2"/>
  <c r="BU13" i="2" s="1"/>
  <c r="BV6" i="2"/>
  <c r="BU6" i="2" s="1"/>
  <c r="BV8" i="2"/>
  <c r="BU8" i="2" s="1"/>
  <c r="BV45" i="2"/>
  <c r="BU45" i="2" s="1"/>
  <c r="BV37" i="2"/>
  <c r="BU37" i="2" s="1"/>
  <c r="BV33" i="2"/>
  <c r="BU33" i="2" s="1"/>
  <c r="BV29" i="2"/>
  <c r="BU29" i="2" s="1"/>
  <c r="BV25" i="2"/>
  <c r="BU25" i="2" s="1"/>
  <c r="BV21" i="2"/>
  <c r="BU21" i="2" s="1"/>
  <c r="BV18" i="2"/>
  <c r="BU18" i="2" s="1"/>
  <c r="BV14" i="2"/>
  <c r="BU14" i="2" s="1"/>
  <c r="BV12" i="2"/>
  <c r="BU12" i="2" s="1"/>
  <c r="BV7" i="2"/>
  <c r="BU7" i="2" s="1"/>
  <c r="BV77" i="2"/>
  <c r="BU77" i="2" s="1"/>
  <c r="BV69" i="2"/>
  <c r="BU69" i="2" s="1"/>
  <c r="BV46" i="2"/>
  <c r="BU46" i="2" s="1"/>
  <c r="BV42" i="2"/>
  <c r="BU42" i="2" s="1"/>
  <c r="BV41" i="2"/>
  <c r="BU41" i="2" s="1"/>
  <c r="BV36" i="2"/>
  <c r="BU36" i="2" s="1"/>
  <c r="BV32" i="2"/>
  <c r="BU32" i="2" s="1"/>
  <c r="AB31" i="2"/>
  <c r="AZ118" i="2"/>
  <c r="AY118" i="2" s="1"/>
  <c r="AZ116" i="2"/>
  <c r="AY116" i="2" s="1"/>
  <c r="AZ114" i="2"/>
  <c r="AY114" i="2" s="1"/>
  <c r="AZ117" i="2"/>
  <c r="AY117" i="2" s="1"/>
  <c r="AZ115" i="2"/>
  <c r="AY115" i="2" s="1"/>
  <c r="AZ107" i="2"/>
  <c r="AY107" i="2" s="1"/>
  <c r="AZ108" i="2"/>
  <c r="AY108" i="2" s="1"/>
  <c r="AZ106" i="2"/>
  <c r="AY106" i="2" s="1"/>
  <c r="AZ102" i="2"/>
  <c r="AY102" i="2" s="1"/>
  <c r="AZ110" i="2"/>
  <c r="AY110" i="2" s="1"/>
  <c r="AZ109" i="2"/>
  <c r="AY109" i="2" s="1"/>
  <c r="AZ100" i="2"/>
  <c r="AY100" i="2" s="1"/>
  <c r="AZ95" i="2"/>
  <c r="AY95" i="2" s="1"/>
  <c r="AZ101" i="2"/>
  <c r="AY101" i="2" s="1"/>
  <c r="AZ105" i="2"/>
  <c r="AY105" i="2" s="1"/>
  <c r="AZ98" i="2"/>
  <c r="AY98" i="2" s="1"/>
  <c r="AZ93" i="2"/>
  <c r="AY93" i="2" s="1"/>
  <c r="AZ103" i="2"/>
  <c r="AY103" i="2" s="1"/>
  <c r="AZ94" i="2"/>
  <c r="AY94" i="2" s="1"/>
  <c r="AZ88" i="2"/>
  <c r="AY88" i="2" s="1"/>
  <c r="AZ86" i="2"/>
  <c r="AY86" i="2" s="1"/>
  <c r="AZ84" i="2"/>
  <c r="AY84" i="2" s="1"/>
  <c r="AZ92" i="2"/>
  <c r="AY92" i="2" s="1"/>
  <c r="AZ91" i="2"/>
  <c r="AY91" i="2" s="1"/>
  <c r="AZ90" i="2"/>
  <c r="AY90" i="2" s="1"/>
  <c r="AZ104" i="2"/>
  <c r="AY104" i="2" s="1"/>
  <c r="AZ99" i="2"/>
  <c r="AY99" i="2" s="1"/>
  <c r="AZ97" i="2"/>
  <c r="AY97" i="2" s="1"/>
  <c r="AZ89" i="2"/>
  <c r="AY89" i="2" s="1"/>
  <c r="AZ87" i="2"/>
  <c r="AY87" i="2" s="1"/>
  <c r="AZ85" i="2"/>
  <c r="AY85" i="2" s="1"/>
  <c r="AZ83" i="2"/>
  <c r="AY83" i="2" s="1"/>
  <c r="AZ80" i="2"/>
  <c r="AY80" i="2" s="1"/>
  <c r="AZ75" i="2"/>
  <c r="AY75" i="2" s="1"/>
  <c r="AZ74" i="2"/>
  <c r="AY74" i="2" s="1"/>
  <c r="AZ70" i="2"/>
  <c r="AY70" i="2" s="1"/>
  <c r="AZ81" i="2"/>
  <c r="AY81" i="2" s="1"/>
  <c r="AZ77" i="2"/>
  <c r="AY77" i="2" s="1"/>
  <c r="AZ72" i="2"/>
  <c r="AY72" i="2" s="1"/>
  <c r="AZ71" i="2"/>
  <c r="AY71" i="2" s="1"/>
  <c r="AZ69" i="2"/>
  <c r="AY69" i="2" s="1"/>
  <c r="AZ65" i="2"/>
  <c r="AY65" i="2" s="1"/>
  <c r="AZ76" i="2"/>
  <c r="AY76" i="2" s="1"/>
  <c r="AZ73" i="2"/>
  <c r="AY73" i="2" s="1"/>
  <c r="AZ67" i="2"/>
  <c r="AY67" i="2" s="1"/>
  <c r="AZ64" i="2"/>
  <c r="AY64" i="2" s="1"/>
  <c r="AZ46" i="2"/>
  <c r="AY46" i="2" s="1"/>
  <c r="AZ79" i="2"/>
  <c r="AY79" i="2" s="1"/>
  <c r="AZ78" i="2"/>
  <c r="AY78" i="2" s="1"/>
  <c r="AZ96" i="2"/>
  <c r="AY96" i="2" s="1"/>
  <c r="AZ42" i="2"/>
  <c r="AY42" i="2" s="1"/>
  <c r="AZ41" i="2"/>
  <c r="AY41" i="2" s="1"/>
  <c r="AZ36" i="2"/>
  <c r="AY36" i="2" s="1"/>
  <c r="AZ32" i="2"/>
  <c r="AY32" i="2" s="1"/>
  <c r="AZ28" i="2"/>
  <c r="AY28" i="2" s="1"/>
  <c r="AZ24" i="2"/>
  <c r="AY24" i="2" s="1"/>
  <c r="AZ20" i="2"/>
  <c r="AY20" i="2" s="1"/>
  <c r="AZ15" i="2"/>
  <c r="AY15" i="2" s="1"/>
  <c r="AZ10" i="2"/>
  <c r="AY10" i="2" s="1"/>
  <c r="AZ5" i="2"/>
  <c r="AY5" i="2" s="1"/>
  <c r="AZ9" i="2"/>
  <c r="AY9" i="2" s="1"/>
  <c r="AZ66" i="2"/>
  <c r="AY66" i="2" s="1"/>
  <c r="AZ43" i="2"/>
  <c r="AY43" i="2" s="1"/>
  <c r="AZ40" i="2"/>
  <c r="AY40" i="2" s="1"/>
  <c r="AZ39" i="2"/>
  <c r="AY39" i="2" s="1"/>
  <c r="AZ35" i="2"/>
  <c r="AY35" i="2" s="1"/>
  <c r="AZ31" i="2"/>
  <c r="AY31" i="2" s="1"/>
  <c r="AZ27" i="2"/>
  <c r="AY27" i="2" s="1"/>
  <c r="AZ23" i="2"/>
  <c r="AY23" i="2" s="1"/>
  <c r="AZ19" i="2"/>
  <c r="AY19" i="2" s="1"/>
  <c r="AZ16" i="2"/>
  <c r="AY16" i="2" s="1"/>
  <c r="AZ11" i="2"/>
  <c r="AY11" i="2" s="1"/>
  <c r="AZ82" i="2"/>
  <c r="AY82" i="2" s="1"/>
  <c r="AZ68" i="2"/>
  <c r="AY68" i="2" s="1"/>
  <c r="AZ44" i="2"/>
  <c r="AY44" i="2" s="1"/>
  <c r="AZ38" i="2"/>
  <c r="AY38" i="2" s="1"/>
  <c r="AZ34" i="2"/>
  <c r="AY34" i="2" s="1"/>
  <c r="AB34" i="2"/>
  <c r="AC34" i="2" s="1"/>
  <c r="AZ37" i="2"/>
  <c r="AY37" i="2" s="1"/>
  <c r="BP37" i="2"/>
  <c r="BO37" i="2" s="1"/>
  <c r="AZ6" i="2"/>
  <c r="AY6" i="2" s="1"/>
  <c r="BP6" i="2"/>
  <c r="BO6" i="2" s="1"/>
  <c r="BH8" i="2"/>
  <c r="BG8" i="2" s="1"/>
  <c r="BX8" i="2"/>
  <c r="BW8" i="2" s="1"/>
  <c r="AZ12" i="2"/>
  <c r="AY12" i="2" s="1"/>
  <c r="BP12" i="2"/>
  <c r="BO12" i="2" s="1"/>
  <c r="AZ4" i="2"/>
  <c r="AY4" i="2" s="1"/>
  <c r="BP4" i="2"/>
  <c r="BO4" i="2" s="1"/>
  <c r="BZ4" i="2"/>
  <c r="BY4" i="2" s="1"/>
  <c r="BZ5" i="2"/>
  <c r="BY5" i="2" s="1"/>
  <c r="AA10" i="2"/>
  <c r="BV10" i="2"/>
  <c r="BU10" i="2" s="1"/>
  <c r="AR13" i="2"/>
  <c r="AQ13" i="2" s="1"/>
  <c r="AR14" i="2"/>
  <c r="AQ14" i="2" s="1"/>
  <c r="BV15" i="2"/>
  <c r="BU15" i="2" s="1"/>
  <c r="AR18" i="2"/>
  <c r="AQ18" i="2" s="1"/>
  <c r="AR22" i="2"/>
  <c r="AQ22" i="2" s="1"/>
  <c r="BZ23" i="2"/>
  <c r="BY23" i="2" s="1"/>
  <c r="AR26" i="2"/>
  <c r="AQ26" i="2" s="1"/>
  <c r="BZ27" i="2"/>
  <c r="BY27" i="2" s="1"/>
  <c r="AR30" i="2"/>
  <c r="AQ30" i="2" s="1"/>
  <c r="AZ30" i="2"/>
  <c r="AY30" i="2" s="1"/>
  <c r="BH30" i="2"/>
  <c r="BG30" i="2" s="1"/>
  <c r="BP30" i="2"/>
  <c r="BO30" i="2" s="1"/>
  <c r="BX30" i="2"/>
  <c r="BW30" i="2" s="1"/>
  <c r="BV31" i="2"/>
  <c r="BU31" i="2" s="1"/>
  <c r="AR33" i="2"/>
  <c r="AQ33" i="2" s="1"/>
  <c r="BV35" i="2"/>
  <c r="BU35" i="2" s="1"/>
  <c r="BZ40" i="2"/>
  <c r="BY40" i="2" s="1"/>
  <c r="BZ43" i="2"/>
  <c r="BY43" i="2" s="1"/>
  <c r="AR45" i="2"/>
  <c r="AQ45" i="2" s="1"/>
  <c r="BH45" i="2"/>
  <c r="BG45" i="2" s="1"/>
  <c r="BX45" i="2"/>
  <c r="BW45" i="2" s="1"/>
  <c r="BP66" i="2"/>
  <c r="BO66" i="2" s="1"/>
  <c r="BX68" i="2"/>
  <c r="BW68" i="2" s="1"/>
  <c r="M68" i="2"/>
  <c r="K100" i="1"/>
  <c r="AD23" i="1"/>
  <c r="AC23" i="1" s="1"/>
  <c r="K98" i="1"/>
  <c r="AD26" i="1"/>
  <c r="AC26" i="1" s="1"/>
  <c r="T72" i="1"/>
  <c r="T16" i="1" s="1"/>
  <c r="AD21" i="1"/>
  <c r="AC21" i="1" s="1"/>
  <c r="AC8" i="1"/>
  <c r="AJ5" i="1" s="1"/>
  <c r="AD27" i="1"/>
  <c r="AC27" i="1" s="1"/>
  <c r="AD24" i="1"/>
  <c r="AC24" i="1" s="1"/>
  <c r="O84" i="1"/>
  <c r="O85" i="1"/>
  <c r="O86" i="1"/>
  <c r="AC32" i="2" l="1"/>
  <c r="AC28" i="2"/>
  <c r="BN116" i="2"/>
  <c r="BM116" i="2" s="1"/>
  <c r="BN48" i="2"/>
  <c r="BM48" i="2" s="1"/>
  <c r="BN54" i="2"/>
  <c r="BM54" i="2" s="1"/>
  <c r="BN58" i="2"/>
  <c r="BM58" i="2" s="1"/>
  <c r="BN50" i="2"/>
  <c r="BM50" i="2" s="1"/>
  <c r="BN52" i="2"/>
  <c r="BM52" i="2" s="1"/>
  <c r="BN59" i="2"/>
  <c r="BM59" i="2" s="1"/>
  <c r="BN51" i="2"/>
  <c r="BM51" i="2" s="1"/>
  <c r="BN55" i="2"/>
  <c r="BM55" i="2" s="1"/>
  <c r="BN49" i="2"/>
  <c r="BM49" i="2" s="1"/>
  <c r="BN53" i="2"/>
  <c r="BM53" i="2" s="1"/>
  <c r="BN60" i="2"/>
  <c r="BM60" i="2" s="1"/>
  <c r="BN61" i="2"/>
  <c r="BM61" i="2" s="1"/>
  <c r="BN63" i="2"/>
  <c r="BM63" i="2" s="1"/>
  <c r="BN47" i="2"/>
  <c r="BM47" i="2" s="1"/>
  <c r="BN57" i="2"/>
  <c r="BM57" i="2" s="1"/>
  <c r="BN62" i="2"/>
  <c r="BM62" i="2" s="1"/>
  <c r="BN56" i="2"/>
  <c r="BM56" i="2" s="1"/>
  <c r="AX31" i="2"/>
  <c r="AW31" i="2" s="1"/>
  <c r="AX48" i="2"/>
  <c r="AW48" i="2" s="1"/>
  <c r="AX54" i="2"/>
  <c r="AW54" i="2" s="1"/>
  <c r="AX58" i="2"/>
  <c r="AW58" i="2" s="1"/>
  <c r="AX50" i="2"/>
  <c r="AW50" i="2" s="1"/>
  <c r="AX52" i="2"/>
  <c r="AW52" i="2" s="1"/>
  <c r="AX59" i="2"/>
  <c r="AW59" i="2" s="1"/>
  <c r="AX51" i="2"/>
  <c r="AW51" i="2" s="1"/>
  <c r="AX55" i="2"/>
  <c r="AW55" i="2" s="1"/>
  <c r="AX62" i="2"/>
  <c r="AW62" i="2" s="1"/>
  <c r="AX53" i="2"/>
  <c r="AW53" i="2" s="1"/>
  <c r="AX60" i="2"/>
  <c r="AW60" i="2" s="1"/>
  <c r="AX61" i="2"/>
  <c r="AW61" i="2" s="1"/>
  <c r="AX47" i="2"/>
  <c r="AW47" i="2" s="1"/>
  <c r="AX56" i="2"/>
  <c r="AW56" i="2" s="1"/>
  <c r="AX57" i="2"/>
  <c r="AW57" i="2" s="1"/>
  <c r="AX49" i="2"/>
  <c r="AW49" i="2" s="1"/>
  <c r="AX63" i="2"/>
  <c r="AW63" i="2" s="1"/>
  <c r="BB48" i="2"/>
  <c r="BA48" i="2" s="1"/>
  <c r="BB51" i="2"/>
  <c r="BA51" i="2" s="1"/>
  <c r="BB58" i="2"/>
  <c r="BA58" i="2" s="1"/>
  <c r="BB49" i="2"/>
  <c r="BA49" i="2" s="1"/>
  <c r="BB50" i="2"/>
  <c r="BA50" i="2" s="1"/>
  <c r="BB56" i="2"/>
  <c r="BA56" i="2" s="1"/>
  <c r="BB60" i="2"/>
  <c r="BA60" i="2" s="1"/>
  <c r="BB61" i="2"/>
  <c r="BA61" i="2" s="1"/>
  <c r="BB54" i="2"/>
  <c r="BA54" i="2" s="1"/>
  <c r="BB55" i="2"/>
  <c r="BA55" i="2" s="1"/>
  <c r="BB53" i="2"/>
  <c r="BA53" i="2" s="1"/>
  <c r="BB59" i="2"/>
  <c r="BA59" i="2" s="1"/>
  <c r="BB62" i="2"/>
  <c r="BA62" i="2" s="1"/>
  <c r="BB47" i="2"/>
  <c r="BA47" i="2" s="1"/>
  <c r="BB57" i="2"/>
  <c r="BA57" i="2" s="1"/>
  <c r="BB63" i="2"/>
  <c r="BA63" i="2" s="1"/>
  <c r="BB52" i="2"/>
  <c r="BA52" i="2" s="1"/>
  <c r="AV52" i="2"/>
  <c r="AU52" i="2" s="1"/>
  <c r="AV55" i="2"/>
  <c r="AU55" i="2" s="1"/>
  <c r="AV59" i="2"/>
  <c r="AU59" i="2" s="1"/>
  <c r="AV47" i="2"/>
  <c r="AU47" i="2" s="1"/>
  <c r="AV51" i="2"/>
  <c r="AU51" i="2" s="1"/>
  <c r="AV53" i="2"/>
  <c r="AU53" i="2" s="1"/>
  <c r="AV57" i="2"/>
  <c r="AU57" i="2" s="1"/>
  <c r="AV48" i="2"/>
  <c r="AU48" i="2" s="1"/>
  <c r="AV49" i="2"/>
  <c r="AU49" i="2" s="1"/>
  <c r="AV56" i="2"/>
  <c r="AU56" i="2" s="1"/>
  <c r="AV58" i="2"/>
  <c r="AU58" i="2" s="1"/>
  <c r="AV60" i="2"/>
  <c r="AU60" i="2" s="1"/>
  <c r="AV61" i="2"/>
  <c r="AU61" i="2" s="1"/>
  <c r="AV54" i="2"/>
  <c r="AU54" i="2" s="1"/>
  <c r="AV62" i="2"/>
  <c r="AU62" i="2" s="1"/>
  <c r="AV63" i="2"/>
  <c r="AU63" i="2" s="1"/>
  <c r="AV50" i="2"/>
  <c r="AU50" i="2" s="1"/>
  <c r="AP27" i="2"/>
  <c r="AO27" i="2" s="1"/>
  <c r="AP48" i="2"/>
  <c r="AO48" i="2" s="1"/>
  <c r="AP54" i="2"/>
  <c r="AO54" i="2" s="1"/>
  <c r="AP58" i="2"/>
  <c r="AO58" i="2" s="1"/>
  <c r="AP50" i="2"/>
  <c r="AO50" i="2" s="1"/>
  <c r="AP52" i="2"/>
  <c r="AO52" i="2" s="1"/>
  <c r="AP59" i="2"/>
  <c r="AO59" i="2" s="1"/>
  <c r="AP51" i="2"/>
  <c r="AO51" i="2" s="1"/>
  <c r="AP55" i="2"/>
  <c r="AO55" i="2" s="1"/>
  <c r="AP62" i="2"/>
  <c r="AO62" i="2" s="1"/>
  <c r="AP56" i="2"/>
  <c r="AO56" i="2" s="1"/>
  <c r="AP63" i="2"/>
  <c r="AO63" i="2" s="1"/>
  <c r="AP49" i="2"/>
  <c r="AO49" i="2" s="1"/>
  <c r="AP57" i="2"/>
  <c r="AO57" i="2" s="1"/>
  <c r="AP53" i="2"/>
  <c r="AO53" i="2" s="1"/>
  <c r="AP60" i="2"/>
  <c r="AO60" i="2" s="1"/>
  <c r="AP61" i="2"/>
  <c r="AO61" i="2" s="1"/>
  <c r="AP47" i="2"/>
  <c r="AO47" i="2" s="1"/>
  <c r="AN52" i="2"/>
  <c r="AM52" i="2" s="1"/>
  <c r="AN55" i="2"/>
  <c r="AM55" i="2" s="1"/>
  <c r="AN59" i="2"/>
  <c r="AM59" i="2" s="1"/>
  <c r="AN47" i="2"/>
  <c r="AM47" i="2" s="1"/>
  <c r="AN51" i="2"/>
  <c r="AM51" i="2" s="1"/>
  <c r="AN53" i="2"/>
  <c r="AM53" i="2" s="1"/>
  <c r="AN57" i="2"/>
  <c r="AM57" i="2" s="1"/>
  <c r="AN48" i="2"/>
  <c r="AM48" i="2" s="1"/>
  <c r="AN49" i="2"/>
  <c r="AM49" i="2" s="1"/>
  <c r="AN56" i="2"/>
  <c r="AM56" i="2" s="1"/>
  <c r="AN58" i="2"/>
  <c r="AM58" i="2" s="1"/>
  <c r="AN60" i="2"/>
  <c r="AM60" i="2" s="1"/>
  <c r="AN61" i="2"/>
  <c r="AM61" i="2" s="1"/>
  <c r="AN50" i="2"/>
  <c r="AM50" i="2" s="1"/>
  <c r="AN62" i="2"/>
  <c r="AM62" i="2" s="1"/>
  <c r="AN63" i="2"/>
  <c r="AM63" i="2" s="1"/>
  <c r="AN54" i="2"/>
  <c r="AM54" i="2" s="1"/>
  <c r="AL117" i="2"/>
  <c r="AK117" i="2" s="1"/>
  <c r="AL48" i="2"/>
  <c r="AK48" i="2" s="1"/>
  <c r="AL51" i="2"/>
  <c r="AK51" i="2" s="1"/>
  <c r="AL58" i="2"/>
  <c r="AK58" i="2" s="1"/>
  <c r="AL49" i="2"/>
  <c r="AK49" i="2" s="1"/>
  <c r="AL50" i="2"/>
  <c r="AK50" i="2" s="1"/>
  <c r="AL56" i="2"/>
  <c r="AK56" i="2" s="1"/>
  <c r="AL60" i="2"/>
  <c r="AK60" i="2" s="1"/>
  <c r="AL61" i="2"/>
  <c r="AK61" i="2" s="1"/>
  <c r="AL54" i="2"/>
  <c r="AK54" i="2" s="1"/>
  <c r="AL55" i="2"/>
  <c r="AK55" i="2" s="1"/>
  <c r="AL63" i="2"/>
  <c r="AK63" i="2" s="1"/>
  <c r="AL52" i="2"/>
  <c r="AK52" i="2" s="1"/>
  <c r="AL53" i="2"/>
  <c r="AK53" i="2" s="1"/>
  <c r="AL62" i="2"/>
  <c r="AK62" i="2" s="1"/>
  <c r="AL47" i="2"/>
  <c r="AK47" i="2" s="1"/>
  <c r="AL57" i="2"/>
  <c r="AK57" i="2" s="1"/>
  <c r="AL59" i="2"/>
  <c r="AK59" i="2" s="1"/>
  <c r="BF48" i="2"/>
  <c r="BE48" i="2" s="1"/>
  <c r="BF54" i="2"/>
  <c r="BE54" i="2" s="1"/>
  <c r="BF58" i="2"/>
  <c r="BE58" i="2" s="1"/>
  <c r="BF50" i="2"/>
  <c r="BE50" i="2" s="1"/>
  <c r="BF52" i="2"/>
  <c r="BE52" i="2" s="1"/>
  <c r="BF59" i="2"/>
  <c r="BE59" i="2" s="1"/>
  <c r="BF51" i="2"/>
  <c r="BE51" i="2" s="1"/>
  <c r="BF55" i="2"/>
  <c r="BE55" i="2" s="1"/>
  <c r="BF62" i="2"/>
  <c r="BE62" i="2" s="1"/>
  <c r="BF63" i="2"/>
  <c r="BE63" i="2" s="1"/>
  <c r="BF47" i="2"/>
  <c r="BE47" i="2" s="1"/>
  <c r="BF49" i="2"/>
  <c r="BE49" i="2" s="1"/>
  <c r="BF53" i="2"/>
  <c r="BE53" i="2" s="1"/>
  <c r="BF56" i="2"/>
  <c r="BE56" i="2" s="1"/>
  <c r="BF60" i="2"/>
  <c r="BE60" i="2" s="1"/>
  <c r="BF61" i="2"/>
  <c r="BE61" i="2" s="1"/>
  <c r="BF57" i="2"/>
  <c r="BE57" i="2" s="1"/>
  <c r="BJ48" i="2"/>
  <c r="BI48" i="2" s="1"/>
  <c r="BJ51" i="2"/>
  <c r="BI51" i="2" s="1"/>
  <c r="BJ58" i="2"/>
  <c r="BI58" i="2" s="1"/>
  <c r="BJ49" i="2"/>
  <c r="BI49" i="2" s="1"/>
  <c r="BJ50" i="2"/>
  <c r="BI50" i="2" s="1"/>
  <c r="BJ56" i="2"/>
  <c r="BI56" i="2" s="1"/>
  <c r="BJ60" i="2"/>
  <c r="BI60" i="2" s="1"/>
  <c r="BJ61" i="2"/>
  <c r="BI61" i="2" s="1"/>
  <c r="BJ54" i="2"/>
  <c r="BI54" i="2" s="1"/>
  <c r="BJ55" i="2"/>
  <c r="BI55" i="2" s="1"/>
  <c r="BJ47" i="2"/>
  <c r="BI47" i="2" s="1"/>
  <c r="BJ52" i="2"/>
  <c r="BI52" i="2" s="1"/>
  <c r="BJ57" i="2"/>
  <c r="BI57" i="2" s="1"/>
  <c r="BJ63" i="2"/>
  <c r="BI63" i="2" s="1"/>
  <c r="BJ53" i="2"/>
  <c r="BI53" i="2" s="1"/>
  <c r="BJ59" i="2"/>
  <c r="BI59" i="2" s="1"/>
  <c r="BJ62" i="2"/>
  <c r="BI62" i="2" s="1"/>
  <c r="BL52" i="2"/>
  <c r="BK52" i="2" s="1"/>
  <c r="BL55" i="2"/>
  <c r="BK55" i="2" s="1"/>
  <c r="BL59" i="2"/>
  <c r="BK59" i="2" s="1"/>
  <c r="BL47" i="2"/>
  <c r="BK47" i="2" s="1"/>
  <c r="BL51" i="2"/>
  <c r="BK51" i="2" s="1"/>
  <c r="BL53" i="2"/>
  <c r="BK53" i="2" s="1"/>
  <c r="BL57" i="2"/>
  <c r="BK57" i="2" s="1"/>
  <c r="BL48" i="2"/>
  <c r="BK48" i="2" s="1"/>
  <c r="BL49" i="2"/>
  <c r="BK49" i="2" s="1"/>
  <c r="BL56" i="2"/>
  <c r="BK56" i="2" s="1"/>
  <c r="BL58" i="2"/>
  <c r="BK58" i="2" s="1"/>
  <c r="BL60" i="2"/>
  <c r="BK60" i="2" s="1"/>
  <c r="BL61" i="2"/>
  <c r="BK61" i="2" s="1"/>
  <c r="BL62" i="2"/>
  <c r="BK62" i="2" s="1"/>
  <c r="BL54" i="2"/>
  <c r="BK54" i="2" s="1"/>
  <c r="BL63" i="2"/>
  <c r="BK63" i="2" s="1"/>
  <c r="BL50" i="2"/>
  <c r="BK50" i="2" s="1"/>
  <c r="AT41" i="2"/>
  <c r="AS41" i="2" s="1"/>
  <c r="AT48" i="2"/>
  <c r="AS48" i="2" s="1"/>
  <c r="AT51" i="2"/>
  <c r="AS51" i="2" s="1"/>
  <c r="AT58" i="2"/>
  <c r="AS58" i="2" s="1"/>
  <c r="AT49" i="2"/>
  <c r="AS49" i="2" s="1"/>
  <c r="AT50" i="2"/>
  <c r="AS50" i="2" s="1"/>
  <c r="AT56" i="2"/>
  <c r="AS56" i="2" s="1"/>
  <c r="AT60" i="2"/>
  <c r="AS60" i="2" s="1"/>
  <c r="AT61" i="2"/>
  <c r="AS61" i="2" s="1"/>
  <c r="AT54" i="2"/>
  <c r="AS54" i="2" s="1"/>
  <c r="AT55" i="2"/>
  <c r="AS55" i="2" s="1"/>
  <c r="AT47" i="2"/>
  <c r="AS47" i="2" s="1"/>
  <c r="AT57" i="2"/>
  <c r="AS57" i="2" s="1"/>
  <c r="AT59" i="2"/>
  <c r="AS59" i="2" s="1"/>
  <c r="AT62" i="2"/>
  <c r="AS62" i="2" s="1"/>
  <c r="AT53" i="2"/>
  <c r="AS53" i="2" s="1"/>
  <c r="AT52" i="2"/>
  <c r="AS52" i="2" s="1"/>
  <c r="AT63" i="2"/>
  <c r="AS63" i="2" s="1"/>
  <c r="BR54" i="2"/>
  <c r="BQ54" i="2" s="1"/>
  <c r="BR62" i="2"/>
  <c r="BQ62" i="2" s="1"/>
  <c r="BR56" i="2"/>
  <c r="BQ56" i="2" s="1"/>
  <c r="BR59" i="2"/>
  <c r="BQ59" i="2" s="1"/>
  <c r="BR48" i="2"/>
  <c r="BQ48" i="2" s="1"/>
  <c r="BR51" i="2"/>
  <c r="BQ51" i="2" s="1"/>
  <c r="BR55" i="2"/>
  <c r="BQ55" i="2" s="1"/>
  <c r="BR58" i="2"/>
  <c r="BQ58" i="2" s="1"/>
  <c r="BR63" i="2"/>
  <c r="BQ63" i="2" s="1"/>
  <c r="BR47" i="2"/>
  <c r="BQ47" i="2" s="1"/>
  <c r="BR50" i="2"/>
  <c r="BQ50" i="2" s="1"/>
  <c r="BR52" i="2"/>
  <c r="BQ52" i="2" s="1"/>
  <c r="BR61" i="2"/>
  <c r="BQ61" i="2" s="1"/>
  <c r="BR49" i="2"/>
  <c r="BQ49" i="2" s="1"/>
  <c r="BR53" i="2"/>
  <c r="BQ53" i="2" s="1"/>
  <c r="BR57" i="2"/>
  <c r="BQ57" i="2" s="1"/>
  <c r="BR60" i="2"/>
  <c r="BQ60" i="2" s="1"/>
  <c r="BT47" i="2"/>
  <c r="BS47" i="2" s="1"/>
  <c r="BT52" i="2"/>
  <c r="BS52" i="2" s="1"/>
  <c r="BT55" i="2"/>
  <c r="BS55" i="2" s="1"/>
  <c r="BT58" i="2"/>
  <c r="BS58" i="2" s="1"/>
  <c r="BT61" i="2"/>
  <c r="BS61" i="2" s="1"/>
  <c r="BT63" i="2"/>
  <c r="BS63" i="2" s="1"/>
  <c r="BT49" i="2"/>
  <c r="BS49" i="2" s="1"/>
  <c r="BT56" i="2"/>
  <c r="BS56" i="2" s="1"/>
  <c r="BT59" i="2"/>
  <c r="BS59" i="2" s="1"/>
  <c r="BT60" i="2"/>
  <c r="BS60" i="2" s="1"/>
  <c r="BT62" i="2"/>
  <c r="BS62" i="2" s="1"/>
  <c r="BT48" i="2"/>
  <c r="BS48" i="2" s="1"/>
  <c r="BT51" i="2"/>
  <c r="BS51" i="2" s="1"/>
  <c r="BT53" i="2"/>
  <c r="BS53" i="2" s="1"/>
  <c r="BT57" i="2"/>
  <c r="BS57" i="2" s="1"/>
  <c r="BT50" i="2"/>
  <c r="BS50" i="2" s="1"/>
  <c r="BT54" i="2"/>
  <c r="BS54" i="2" s="1"/>
  <c r="AA80" i="2"/>
  <c r="O116" i="1"/>
  <c r="M116" i="1"/>
  <c r="O114" i="1"/>
  <c r="M114" i="1"/>
  <c r="O113" i="1"/>
  <c r="M113" i="1"/>
  <c r="AA74" i="2"/>
  <c r="AA69" i="2"/>
  <c r="AA78" i="2"/>
  <c r="AA68" i="2"/>
  <c r="AA77" i="2"/>
  <c r="AA64" i="2"/>
  <c r="AA75" i="2"/>
  <c r="AA71" i="2"/>
  <c r="AA66" i="2"/>
  <c r="AA73" i="2"/>
  <c r="AA70" i="2"/>
  <c r="AA72" i="2"/>
  <c r="AA76" i="2"/>
  <c r="AA65" i="2"/>
  <c r="AA79" i="2"/>
  <c r="AA67" i="2"/>
  <c r="AD32" i="1"/>
  <c r="AC32" i="1" s="1"/>
  <c r="AD19" i="1"/>
  <c r="AC19" i="1" s="1"/>
  <c r="AD29" i="1"/>
  <c r="AC29" i="1" s="1"/>
  <c r="AD33" i="1"/>
  <c r="AC33" i="1" s="1"/>
  <c r="AD31" i="1"/>
  <c r="AC31" i="1" s="1"/>
  <c r="AD34" i="1"/>
  <c r="AC34" i="1" s="1"/>
  <c r="AD25" i="1"/>
  <c r="AC25" i="1" s="1"/>
  <c r="AD18" i="1"/>
  <c r="AC18" i="1" s="1"/>
  <c r="AD28" i="1"/>
  <c r="AC28" i="1" s="1"/>
  <c r="AD30" i="1"/>
  <c r="AC30" i="1" s="1"/>
  <c r="AD35" i="1"/>
  <c r="AC35" i="1" s="1"/>
  <c r="AD20" i="1"/>
  <c r="AC20" i="1" s="1"/>
  <c r="AD22" i="1"/>
  <c r="AC22" i="1" s="1"/>
  <c r="BF87" i="2"/>
  <c r="BE87" i="2" s="1"/>
  <c r="AC24" i="2"/>
  <c r="BF12" i="2"/>
  <c r="BE12" i="2" s="1"/>
  <c r="BN77" i="2"/>
  <c r="BM77" i="2" s="1"/>
  <c r="AT76" i="2"/>
  <c r="AS76" i="2" s="1"/>
  <c r="AT71" i="2"/>
  <c r="AS71" i="2" s="1"/>
  <c r="BF81" i="2"/>
  <c r="BE81" i="2" s="1"/>
  <c r="BF15" i="2"/>
  <c r="BE15" i="2" s="1"/>
  <c r="R65" i="2"/>
  <c r="AT107" i="2"/>
  <c r="AS107" i="2" s="1"/>
  <c r="AT93" i="2"/>
  <c r="AS93" i="2" s="1"/>
  <c r="AP87" i="2"/>
  <c r="AO87" i="2" s="1"/>
  <c r="AP88" i="2"/>
  <c r="AO88" i="2" s="1"/>
  <c r="AL107" i="2"/>
  <c r="AK107" i="2" s="1"/>
  <c r="BN39" i="2"/>
  <c r="BM39" i="2" s="1"/>
  <c r="AP83" i="2"/>
  <c r="AO83" i="2" s="1"/>
  <c r="AP117" i="2"/>
  <c r="AO117" i="2" s="1"/>
  <c r="AP70" i="2"/>
  <c r="AO70" i="2" s="1"/>
  <c r="BN11" i="2"/>
  <c r="BM11" i="2" s="1"/>
  <c r="BN42" i="2"/>
  <c r="BM42" i="2" s="1"/>
  <c r="BN8" i="2"/>
  <c r="BM8" i="2" s="1"/>
  <c r="AP13" i="2"/>
  <c r="AO13" i="2" s="1"/>
  <c r="AP68" i="2"/>
  <c r="AO68" i="2" s="1"/>
  <c r="AL93" i="2"/>
  <c r="AK93" i="2" s="1"/>
  <c r="AP36" i="2"/>
  <c r="AO36" i="2" s="1"/>
  <c r="AP37" i="2"/>
  <c r="AO37" i="2" s="1"/>
  <c r="AP81" i="2"/>
  <c r="AO81" i="2" s="1"/>
  <c r="AP93" i="2"/>
  <c r="AO93" i="2" s="1"/>
  <c r="AP104" i="2"/>
  <c r="AO104" i="2" s="1"/>
  <c r="BN107" i="2"/>
  <c r="BM107" i="2" s="1"/>
  <c r="AP4" i="2"/>
  <c r="AO4" i="2" s="1"/>
  <c r="AP8" i="2"/>
  <c r="AO8" i="2" s="1"/>
  <c r="AP80" i="2"/>
  <c r="AO80" i="2" s="1"/>
  <c r="AP92" i="2"/>
  <c r="AO92" i="2" s="1"/>
  <c r="AP35" i="2"/>
  <c r="AO35" i="2" s="1"/>
  <c r="AP25" i="2"/>
  <c r="AO25" i="2" s="1"/>
  <c r="AP38" i="2"/>
  <c r="AO38" i="2" s="1"/>
  <c r="AP84" i="2"/>
  <c r="AO84" i="2" s="1"/>
  <c r="AP102" i="2"/>
  <c r="AO102" i="2" s="1"/>
  <c r="BN64" i="2"/>
  <c r="BM64" i="2" s="1"/>
  <c r="BF19" i="2"/>
  <c r="BE19" i="2" s="1"/>
  <c r="BF109" i="2"/>
  <c r="BE109" i="2" s="1"/>
  <c r="BF108" i="2"/>
  <c r="BE108" i="2" s="1"/>
  <c r="BF101" i="2"/>
  <c r="BE101" i="2" s="1"/>
  <c r="BF83" i="2"/>
  <c r="BE83" i="2" s="1"/>
  <c r="BF89" i="2"/>
  <c r="BE89" i="2" s="1"/>
  <c r="BF78" i="2"/>
  <c r="BE78" i="2" s="1"/>
  <c r="BF82" i="2"/>
  <c r="BE82" i="2" s="1"/>
  <c r="BF75" i="2"/>
  <c r="BE75" i="2" s="1"/>
  <c r="BF77" i="2"/>
  <c r="BE77" i="2" s="1"/>
  <c r="BF38" i="2"/>
  <c r="BE38" i="2" s="1"/>
  <c r="BF6" i="2"/>
  <c r="BE6" i="2" s="1"/>
  <c r="BF45" i="2"/>
  <c r="BE45" i="2" s="1"/>
  <c r="BF21" i="2"/>
  <c r="BE21" i="2" s="1"/>
  <c r="BF41" i="2"/>
  <c r="BE41" i="2" s="1"/>
  <c r="BF115" i="2"/>
  <c r="BE115" i="2" s="1"/>
  <c r="BF110" i="2"/>
  <c r="BE110" i="2" s="1"/>
  <c r="BF98" i="2"/>
  <c r="BE98" i="2" s="1"/>
  <c r="BF96" i="2"/>
  <c r="BE96" i="2" s="1"/>
  <c r="BF100" i="2"/>
  <c r="BE100" i="2" s="1"/>
  <c r="BF86" i="2"/>
  <c r="BE86" i="2" s="1"/>
  <c r="BF73" i="2"/>
  <c r="BE73" i="2" s="1"/>
  <c r="BF79" i="2"/>
  <c r="BE79" i="2" s="1"/>
  <c r="BF65" i="2"/>
  <c r="BE65" i="2" s="1"/>
  <c r="BF80" i="2"/>
  <c r="BE80" i="2" s="1"/>
  <c r="BF69" i="2"/>
  <c r="BE69" i="2" s="1"/>
  <c r="BF30" i="2"/>
  <c r="BE30" i="2" s="1"/>
  <c r="BF8" i="2"/>
  <c r="BE8" i="2" s="1"/>
  <c r="BF37" i="2"/>
  <c r="BE37" i="2" s="1"/>
  <c r="BF14" i="2"/>
  <c r="BE14" i="2" s="1"/>
  <c r="BF36" i="2"/>
  <c r="BE36" i="2" s="1"/>
  <c r="BF10" i="2"/>
  <c r="BE10" i="2" s="1"/>
  <c r="BF23" i="2"/>
  <c r="BE23" i="2" s="1"/>
  <c r="BF39" i="2"/>
  <c r="BE39" i="2" s="1"/>
  <c r="BF118" i="2"/>
  <c r="BE118" i="2" s="1"/>
  <c r="BF107" i="2"/>
  <c r="BE107" i="2" s="1"/>
  <c r="BF106" i="2"/>
  <c r="BE106" i="2" s="1"/>
  <c r="BF90" i="2"/>
  <c r="BE90" i="2" s="1"/>
  <c r="BF91" i="2"/>
  <c r="BE91" i="2" s="1"/>
  <c r="BF95" i="2"/>
  <c r="BE95" i="2" s="1"/>
  <c r="BF68" i="2"/>
  <c r="BE68" i="2" s="1"/>
  <c r="BF66" i="2"/>
  <c r="BE66" i="2" s="1"/>
  <c r="BF72" i="2"/>
  <c r="BE72" i="2" s="1"/>
  <c r="AX99" i="2"/>
  <c r="AW99" i="2" s="1"/>
  <c r="AX18" i="2"/>
  <c r="AW18" i="2" s="1"/>
  <c r="AX101" i="2"/>
  <c r="AW101" i="2" s="1"/>
  <c r="AX36" i="2"/>
  <c r="AW36" i="2" s="1"/>
  <c r="AX39" i="2"/>
  <c r="AW39" i="2" s="1"/>
  <c r="AX117" i="2"/>
  <c r="AW117" i="2" s="1"/>
  <c r="AX76" i="2"/>
  <c r="AW76" i="2" s="1"/>
  <c r="AX38" i="2"/>
  <c r="AW38" i="2" s="1"/>
  <c r="BF42" i="2"/>
  <c r="BE42" i="2" s="1"/>
  <c r="BF25" i="2"/>
  <c r="BE25" i="2" s="1"/>
  <c r="BF22" i="2"/>
  <c r="BE22" i="2" s="1"/>
  <c r="BF74" i="2"/>
  <c r="BE74" i="2" s="1"/>
  <c r="BF67" i="2"/>
  <c r="BE67" i="2" s="1"/>
  <c r="BF102" i="2"/>
  <c r="BE102" i="2" s="1"/>
  <c r="BF11" i="2"/>
  <c r="BE11" i="2" s="1"/>
  <c r="AX77" i="2"/>
  <c r="AW77" i="2" s="1"/>
  <c r="BF29" i="2"/>
  <c r="BE29" i="2" s="1"/>
  <c r="BF26" i="2"/>
  <c r="BE26" i="2" s="1"/>
  <c r="BF71" i="2"/>
  <c r="BE71" i="2" s="1"/>
  <c r="BF88" i="2"/>
  <c r="BE88" i="2" s="1"/>
  <c r="BF105" i="2"/>
  <c r="BE105" i="2" s="1"/>
  <c r="BF35" i="2"/>
  <c r="BE35" i="2" s="1"/>
  <c r="BF31" i="2"/>
  <c r="BE31" i="2" s="1"/>
  <c r="BF7" i="2"/>
  <c r="BE7" i="2" s="1"/>
  <c r="BF44" i="2"/>
  <c r="BE44" i="2" s="1"/>
  <c r="BF93" i="2"/>
  <c r="BE93" i="2" s="1"/>
  <c r="BF116" i="2"/>
  <c r="BE116" i="2" s="1"/>
  <c r="AX104" i="2"/>
  <c r="AW104" i="2" s="1"/>
  <c r="AP15" i="2"/>
  <c r="AO15" i="2" s="1"/>
  <c r="AP41" i="2"/>
  <c r="AO41" i="2" s="1"/>
  <c r="AP12" i="2"/>
  <c r="AO12" i="2" s="1"/>
  <c r="AP45" i="2"/>
  <c r="AO45" i="2" s="1"/>
  <c r="AP22" i="2"/>
  <c r="AO22" i="2" s="1"/>
  <c r="AP74" i="2"/>
  <c r="AO74" i="2" s="1"/>
  <c r="AP73" i="2"/>
  <c r="AO73" i="2" s="1"/>
  <c r="AP100" i="2"/>
  <c r="AO100" i="2" s="1"/>
  <c r="AP101" i="2"/>
  <c r="AO101" i="2" s="1"/>
  <c r="AP109" i="2"/>
  <c r="AO109" i="2" s="1"/>
  <c r="AL66" i="2"/>
  <c r="AK66" i="2" s="1"/>
  <c r="AP21" i="2"/>
  <c r="AO21" i="2" s="1"/>
  <c r="AP34" i="2"/>
  <c r="AO34" i="2" s="1"/>
  <c r="AP82" i="2"/>
  <c r="AO82" i="2" s="1"/>
  <c r="AP99" i="2"/>
  <c r="AO99" i="2" s="1"/>
  <c r="AP85" i="2"/>
  <c r="AO85" i="2" s="1"/>
  <c r="AP98" i="2"/>
  <c r="AO98" i="2" s="1"/>
  <c r="AP115" i="2"/>
  <c r="AO115" i="2" s="1"/>
  <c r="BN89" i="2"/>
  <c r="BM89" i="2" s="1"/>
  <c r="AT86" i="2"/>
  <c r="AS86" i="2" s="1"/>
  <c r="AT103" i="2"/>
  <c r="AS103" i="2" s="1"/>
  <c r="AT42" i="2"/>
  <c r="AS42" i="2" s="1"/>
  <c r="AT38" i="2"/>
  <c r="AS38" i="2" s="1"/>
  <c r="AT101" i="2"/>
  <c r="AS101" i="2" s="1"/>
  <c r="AT104" i="2"/>
  <c r="AS104" i="2" s="1"/>
  <c r="AT81" i="2"/>
  <c r="AS81" i="2" s="1"/>
  <c r="AT64" i="2"/>
  <c r="AS64" i="2" s="1"/>
  <c r="AT87" i="2"/>
  <c r="AS87" i="2" s="1"/>
  <c r="AT116" i="2"/>
  <c r="AS116" i="2" s="1"/>
  <c r="AT30" i="2"/>
  <c r="AS30" i="2" s="1"/>
  <c r="AT65" i="2"/>
  <c r="AS65" i="2" s="1"/>
  <c r="AT69" i="2"/>
  <c r="AS69" i="2" s="1"/>
  <c r="AT74" i="2"/>
  <c r="AS74" i="2" s="1"/>
  <c r="AT79" i="2"/>
  <c r="AS79" i="2" s="1"/>
  <c r="AT68" i="2"/>
  <c r="AS68" i="2" s="1"/>
  <c r="AT96" i="2"/>
  <c r="AS96" i="2" s="1"/>
  <c r="AT95" i="2"/>
  <c r="AS95" i="2" s="1"/>
  <c r="AT99" i="2"/>
  <c r="AS99" i="2" s="1"/>
  <c r="AT92" i="2"/>
  <c r="AS92" i="2" s="1"/>
  <c r="AT98" i="2"/>
  <c r="AS98" i="2" s="1"/>
  <c r="AT105" i="2"/>
  <c r="AS105" i="2" s="1"/>
  <c r="AT109" i="2"/>
  <c r="AS109" i="2" s="1"/>
  <c r="AT115" i="2"/>
  <c r="AS115" i="2" s="1"/>
  <c r="AT36" i="2"/>
  <c r="AS36" i="2" s="1"/>
  <c r="BN69" i="2"/>
  <c r="BM69" i="2" s="1"/>
  <c r="BN23" i="2"/>
  <c r="BM23" i="2" s="1"/>
  <c r="BN5" i="2"/>
  <c r="BM5" i="2" s="1"/>
  <c r="BN14" i="2"/>
  <c r="BM14" i="2" s="1"/>
  <c r="BN44" i="2"/>
  <c r="BM44" i="2" s="1"/>
  <c r="BN84" i="2"/>
  <c r="BM84" i="2" s="1"/>
  <c r="BN106" i="2"/>
  <c r="BM106" i="2" s="1"/>
  <c r="AT70" i="2"/>
  <c r="AS70" i="2" s="1"/>
  <c r="AT44" i="2"/>
  <c r="AS44" i="2" s="1"/>
  <c r="AT75" i="2"/>
  <c r="AS75" i="2" s="1"/>
  <c r="AT77" i="2"/>
  <c r="AS77" i="2" s="1"/>
  <c r="AT89" i="2"/>
  <c r="AS89" i="2" s="1"/>
  <c r="AT82" i="2"/>
  <c r="AS82" i="2" s="1"/>
  <c r="AT73" i="2"/>
  <c r="AS73" i="2" s="1"/>
  <c r="AT84" i="2"/>
  <c r="AS84" i="2" s="1"/>
  <c r="AT97" i="2"/>
  <c r="AS97" i="2" s="1"/>
  <c r="AT85" i="2"/>
  <c r="AS85" i="2" s="1"/>
  <c r="AT100" i="2"/>
  <c r="AS100" i="2" s="1"/>
  <c r="AT102" i="2"/>
  <c r="AS102" i="2" s="1"/>
  <c r="AT108" i="2"/>
  <c r="AS108" i="2" s="1"/>
  <c r="AT114" i="2"/>
  <c r="AS114" i="2" s="1"/>
  <c r="AT117" i="2"/>
  <c r="AS117" i="2" s="1"/>
  <c r="AT32" i="2"/>
  <c r="AS32" i="2" s="1"/>
  <c r="BN31" i="2"/>
  <c r="BM31" i="2" s="1"/>
  <c r="BN10" i="2"/>
  <c r="BM10" i="2" s="1"/>
  <c r="BN28" i="2"/>
  <c r="BM28" i="2" s="1"/>
  <c r="BN32" i="2"/>
  <c r="BM32" i="2" s="1"/>
  <c r="BN45" i="2"/>
  <c r="BM45" i="2" s="1"/>
  <c r="BN79" i="2"/>
  <c r="BM79" i="2" s="1"/>
  <c r="BN87" i="2"/>
  <c r="BM87" i="2" s="1"/>
  <c r="BN104" i="2"/>
  <c r="BM104" i="2" s="1"/>
  <c r="AT34" i="2"/>
  <c r="AS34" i="2" s="1"/>
  <c r="AT45" i="2"/>
  <c r="AS45" i="2" s="1"/>
  <c r="AT37" i="2"/>
  <c r="AS37" i="2" s="1"/>
  <c r="AT83" i="2"/>
  <c r="AS83" i="2" s="1"/>
  <c r="AT66" i="2"/>
  <c r="AS66" i="2" s="1"/>
  <c r="AT67" i="2"/>
  <c r="AS67" i="2" s="1"/>
  <c r="AT78" i="2"/>
  <c r="AS78" i="2" s="1"/>
  <c r="AT91" i="2"/>
  <c r="AS91" i="2" s="1"/>
  <c r="AT90" i="2"/>
  <c r="AS90" i="2" s="1"/>
  <c r="AT88" i="2"/>
  <c r="AS88" i="2" s="1"/>
  <c r="AT94" i="2"/>
  <c r="AS94" i="2" s="1"/>
  <c r="AT106" i="2"/>
  <c r="AS106" i="2" s="1"/>
  <c r="AT110" i="2"/>
  <c r="AS110" i="2" s="1"/>
  <c r="AT118" i="2"/>
  <c r="AS118" i="2" s="1"/>
  <c r="BN15" i="2"/>
  <c r="BM15" i="2" s="1"/>
  <c r="BN4" i="2"/>
  <c r="BM4" i="2" s="1"/>
  <c r="BN12" i="2"/>
  <c r="BM12" i="2" s="1"/>
  <c r="BN38" i="2"/>
  <c r="BM38" i="2" s="1"/>
  <c r="BN82" i="2"/>
  <c r="BM82" i="2" s="1"/>
  <c r="BN99" i="2"/>
  <c r="BM99" i="2" s="1"/>
  <c r="BN117" i="2"/>
  <c r="BM117" i="2" s="1"/>
  <c r="BF24" i="2"/>
  <c r="BE24" i="2" s="1"/>
  <c r="BN25" i="2"/>
  <c r="BM25" i="2" s="1"/>
  <c r="BN22" i="2"/>
  <c r="BM22" i="2" s="1"/>
  <c r="BN72" i="2"/>
  <c r="BM72" i="2" s="1"/>
  <c r="BN75" i="2"/>
  <c r="BM75" i="2" s="1"/>
  <c r="BN73" i="2"/>
  <c r="BM73" i="2" s="1"/>
  <c r="BN101" i="2"/>
  <c r="BM101" i="2" s="1"/>
  <c r="BN100" i="2"/>
  <c r="BM100" i="2" s="1"/>
  <c r="BN94" i="2"/>
  <c r="BM94" i="2" s="1"/>
  <c r="BN114" i="2"/>
  <c r="BM114" i="2" s="1"/>
  <c r="BN29" i="2"/>
  <c r="BM29" i="2" s="1"/>
  <c r="BN26" i="2"/>
  <c r="BM26" i="2" s="1"/>
  <c r="BN80" i="2"/>
  <c r="BM80" i="2" s="1"/>
  <c r="BN81" i="2"/>
  <c r="BM81" i="2" s="1"/>
  <c r="BN76" i="2"/>
  <c r="BM76" i="2" s="1"/>
  <c r="BN88" i="2"/>
  <c r="BM88" i="2" s="1"/>
  <c r="BN92" i="2"/>
  <c r="BM92" i="2" s="1"/>
  <c r="BN98" i="2"/>
  <c r="BM98" i="2" s="1"/>
  <c r="Q66" i="2"/>
  <c r="AP11" i="2"/>
  <c r="AO11" i="2" s="1"/>
  <c r="AP46" i="2"/>
  <c r="AO46" i="2" s="1"/>
  <c r="AP31" i="2"/>
  <c r="AO31" i="2" s="1"/>
  <c r="AP10" i="2"/>
  <c r="AO10" i="2" s="1"/>
  <c r="AP42" i="2"/>
  <c r="AO42" i="2" s="1"/>
  <c r="AP69" i="2"/>
  <c r="AO69" i="2" s="1"/>
  <c r="AP14" i="2"/>
  <c r="AO14" i="2" s="1"/>
  <c r="AP29" i="2"/>
  <c r="AO29" i="2" s="1"/>
  <c r="AP7" i="2"/>
  <c r="AO7" i="2" s="1"/>
  <c r="AP26" i="2"/>
  <c r="AO26" i="2" s="1"/>
  <c r="AP44" i="2"/>
  <c r="AO44" i="2" s="1"/>
  <c r="AP71" i="2"/>
  <c r="AO71" i="2" s="1"/>
  <c r="AP65" i="2"/>
  <c r="AO65" i="2" s="1"/>
  <c r="AP66" i="2"/>
  <c r="AO66" i="2" s="1"/>
  <c r="AP64" i="2"/>
  <c r="AO64" i="2" s="1"/>
  <c r="AP76" i="2"/>
  <c r="AO76" i="2" s="1"/>
  <c r="AP86" i="2"/>
  <c r="AO86" i="2" s="1"/>
  <c r="AP91" i="2"/>
  <c r="AO91" i="2" s="1"/>
  <c r="AP90" i="2"/>
  <c r="AO90" i="2" s="1"/>
  <c r="AP103" i="2"/>
  <c r="AO103" i="2" s="1"/>
  <c r="AP105" i="2"/>
  <c r="AO105" i="2" s="1"/>
  <c r="AP114" i="2"/>
  <c r="AO114" i="2" s="1"/>
  <c r="AP40" i="2"/>
  <c r="AO40" i="2" s="1"/>
  <c r="AP39" i="2"/>
  <c r="AO39" i="2" s="1"/>
  <c r="BF28" i="2"/>
  <c r="BE28" i="2" s="1"/>
  <c r="AP19" i="2"/>
  <c r="AO19" i="2" s="1"/>
  <c r="AP32" i="2"/>
  <c r="AO32" i="2" s="1"/>
  <c r="AP77" i="2"/>
  <c r="AO77" i="2" s="1"/>
  <c r="AP18" i="2"/>
  <c r="AO18" i="2" s="1"/>
  <c r="AP33" i="2"/>
  <c r="AO33" i="2" s="1"/>
  <c r="AP6" i="2"/>
  <c r="AO6" i="2" s="1"/>
  <c r="AP30" i="2"/>
  <c r="AO30" i="2" s="1"/>
  <c r="AP72" i="2"/>
  <c r="AO72" i="2" s="1"/>
  <c r="AP75" i="2"/>
  <c r="AO75" i="2" s="1"/>
  <c r="AP79" i="2"/>
  <c r="AO79" i="2" s="1"/>
  <c r="AP67" i="2"/>
  <c r="AO67" i="2" s="1"/>
  <c r="AP78" i="2"/>
  <c r="AO78" i="2" s="1"/>
  <c r="AP89" i="2"/>
  <c r="AO89" i="2" s="1"/>
  <c r="AP96" i="2"/>
  <c r="AO96" i="2" s="1"/>
  <c r="AP95" i="2"/>
  <c r="AO95" i="2" s="1"/>
  <c r="AP94" i="2"/>
  <c r="AO94" i="2" s="1"/>
  <c r="AP107" i="2"/>
  <c r="AO107" i="2" s="1"/>
  <c r="AP116" i="2"/>
  <c r="AO116" i="2" s="1"/>
  <c r="AX20" i="2"/>
  <c r="AW20" i="2" s="1"/>
  <c r="AX23" i="2"/>
  <c r="AW23" i="2" s="1"/>
  <c r="AX9" i="2"/>
  <c r="AW9" i="2" s="1"/>
  <c r="AX10" i="2"/>
  <c r="AW10" i="2" s="1"/>
  <c r="AX118" i="2"/>
  <c r="AW118" i="2" s="1"/>
  <c r="AX110" i="2"/>
  <c r="AW110" i="2" s="1"/>
  <c r="AX102" i="2"/>
  <c r="AW102" i="2" s="1"/>
  <c r="AX108" i="2"/>
  <c r="AW108" i="2" s="1"/>
  <c r="AX95" i="2"/>
  <c r="AW95" i="2" s="1"/>
  <c r="AX87" i="2"/>
  <c r="AW87" i="2" s="1"/>
  <c r="AX96" i="2"/>
  <c r="AW96" i="2" s="1"/>
  <c r="AX84" i="2"/>
  <c r="AW84" i="2" s="1"/>
  <c r="AX68" i="2"/>
  <c r="AW68" i="2" s="1"/>
  <c r="AX79" i="2"/>
  <c r="AW79" i="2" s="1"/>
  <c r="AX81" i="2"/>
  <c r="AW81" i="2" s="1"/>
  <c r="AX83" i="2"/>
  <c r="AW83" i="2" s="1"/>
  <c r="AX70" i="2"/>
  <c r="AW70" i="2" s="1"/>
  <c r="AX74" i="2"/>
  <c r="AW74" i="2" s="1"/>
  <c r="AX46" i="2"/>
  <c r="AW46" i="2" s="1"/>
  <c r="AX30" i="2"/>
  <c r="AW30" i="2" s="1"/>
  <c r="AX6" i="2"/>
  <c r="AW6" i="2" s="1"/>
  <c r="AX45" i="2"/>
  <c r="AW45" i="2" s="1"/>
  <c r="AX25" i="2"/>
  <c r="AW25" i="2" s="1"/>
  <c r="AX12" i="2"/>
  <c r="AW12" i="2" s="1"/>
  <c r="AX42" i="2"/>
  <c r="AW42" i="2" s="1"/>
  <c r="AX35" i="2"/>
  <c r="AW35" i="2" s="1"/>
  <c r="AX27" i="2"/>
  <c r="AW27" i="2" s="1"/>
  <c r="AX24" i="2"/>
  <c r="AW24" i="2" s="1"/>
  <c r="AX15" i="2"/>
  <c r="AW15" i="2" s="1"/>
  <c r="AX116" i="2"/>
  <c r="AW116" i="2" s="1"/>
  <c r="AX107" i="2"/>
  <c r="AW107" i="2" s="1"/>
  <c r="AX98" i="2"/>
  <c r="AW98" i="2" s="1"/>
  <c r="AX106" i="2"/>
  <c r="AW106" i="2" s="1"/>
  <c r="AX92" i="2"/>
  <c r="AW92" i="2" s="1"/>
  <c r="AX85" i="2"/>
  <c r="AW85" i="2" s="1"/>
  <c r="AX88" i="2"/>
  <c r="AW88" i="2" s="1"/>
  <c r="AX78" i="2"/>
  <c r="AW78" i="2" s="1"/>
  <c r="AX67" i="2"/>
  <c r="AW67" i="2" s="1"/>
  <c r="AX66" i="2"/>
  <c r="AW66" i="2" s="1"/>
  <c r="AX75" i="2"/>
  <c r="AW75" i="2" s="1"/>
  <c r="AX80" i="2"/>
  <c r="AW80" i="2" s="1"/>
  <c r="AX44" i="2"/>
  <c r="AW44" i="2" s="1"/>
  <c r="AX26" i="2"/>
  <c r="AW26" i="2" s="1"/>
  <c r="AX7" i="2"/>
  <c r="AW7" i="2" s="1"/>
  <c r="AX37" i="2"/>
  <c r="AW37" i="2" s="1"/>
  <c r="AX21" i="2"/>
  <c r="AW21" i="2" s="1"/>
  <c r="AX8" i="2"/>
  <c r="AW8" i="2" s="1"/>
  <c r="AX41" i="2"/>
  <c r="AW41" i="2" s="1"/>
  <c r="AX29" i="2"/>
  <c r="AW29" i="2" s="1"/>
  <c r="AX13" i="2"/>
  <c r="AW13" i="2" s="1"/>
  <c r="AX71" i="2"/>
  <c r="AW71" i="2" s="1"/>
  <c r="AX82" i="2"/>
  <c r="AW82" i="2" s="1"/>
  <c r="AX86" i="2"/>
  <c r="AW86" i="2" s="1"/>
  <c r="AX89" i="2"/>
  <c r="AW89" i="2" s="1"/>
  <c r="AX103" i="2"/>
  <c r="AW103" i="2" s="1"/>
  <c r="AX109" i="2"/>
  <c r="AW109" i="2" s="1"/>
  <c r="AX16" i="2"/>
  <c r="AW16" i="2" s="1"/>
  <c r="BF4" i="2"/>
  <c r="BE4" i="2" s="1"/>
  <c r="BF27" i="2"/>
  <c r="BE27" i="2" s="1"/>
  <c r="BF16" i="2"/>
  <c r="BE16" i="2" s="1"/>
  <c r="BF5" i="2"/>
  <c r="BE5" i="2" s="1"/>
  <c r="BF40" i="2"/>
  <c r="BE40" i="2" s="1"/>
  <c r="BF117" i="2"/>
  <c r="BE117" i="2" s="1"/>
  <c r="BF114" i="2"/>
  <c r="BE114" i="2" s="1"/>
  <c r="BF104" i="2"/>
  <c r="BE104" i="2" s="1"/>
  <c r="BF94" i="2"/>
  <c r="BE94" i="2" s="1"/>
  <c r="BF92" i="2"/>
  <c r="BE92" i="2" s="1"/>
  <c r="BF85" i="2"/>
  <c r="BE85" i="2" s="1"/>
  <c r="BF99" i="2"/>
  <c r="BE99" i="2" s="1"/>
  <c r="BF84" i="2"/>
  <c r="BE84" i="2" s="1"/>
  <c r="BF76" i="2"/>
  <c r="BE76" i="2" s="1"/>
  <c r="BF64" i="2"/>
  <c r="BE64" i="2" s="1"/>
  <c r="BF70" i="2"/>
  <c r="BE70" i="2" s="1"/>
  <c r="BF97" i="2"/>
  <c r="BE97" i="2" s="1"/>
  <c r="BF34" i="2"/>
  <c r="BE34" i="2" s="1"/>
  <c r="BF13" i="2"/>
  <c r="BE13" i="2" s="1"/>
  <c r="BF33" i="2"/>
  <c r="BE33" i="2" s="1"/>
  <c r="BF18" i="2"/>
  <c r="BE18" i="2" s="1"/>
  <c r="BF103" i="2"/>
  <c r="BE103" i="2" s="1"/>
  <c r="BF46" i="2"/>
  <c r="BE46" i="2" s="1"/>
  <c r="BF32" i="2"/>
  <c r="BE32" i="2" s="1"/>
  <c r="AX11" i="2"/>
  <c r="AW11" i="2" s="1"/>
  <c r="AP43" i="2"/>
  <c r="AO43" i="2" s="1"/>
  <c r="AP28" i="2"/>
  <c r="AO28" i="2" s="1"/>
  <c r="AP5" i="2"/>
  <c r="AO5" i="2" s="1"/>
  <c r="AP16" i="2"/>
  <c r="AO16" i="2" s="1"/>
  <c r="AP24" i="2"/>
  <c r="AO24" i="2" s="1"/>
  <c r="AP23" i="2"/>
  <c r="AO23" i="2" s="1"/>
  <c r="AP118" i="2"/>
  <c r="AO118" i="2" s="1"/>
  <c r="AP110" i="2"/>
  <c r="AO110" i="2" s="1"/>
  <c r="AP108" i="2"/>
  <c r="AO108" i="2" s="1"/>
  <c r="AP106" i="2"/>
  <c r="AO106" i="2" s="1"/>
  <c r="AP97" i="2"/>
  <c r="AO97" i="2" s="1"/>
  <c r="AX40" i="2"/>
  <c r="AW40" i="2" s="1"/>
  <c r="AX5" i="2"/>
  <c r="AW5" i="2" s="1"/>
  <c r="AX33" i="2"/>
  <c r="AW33" i="2" s="1"/>
  <c r="AX22" i="2"/>
  <c r="AW22" i="2" s="1"/>
  <c r="AX72" i="2"/>
  <c r="AW72" i="2" s="1"/>
  <c r="AX65" i="2"/>
  <c r="AW65" i="2" s="1"/>
  <c r="AX64" i="2"/>
  <c r="AW64" i="2" s="1"/>
  <c r="AX90" i="2"/>
  <c r="AW90" i="2" s="1"/>
  <c r="AX93" i="2"/>
  <c r="AW93" i="2" s="1"/>
  <c r="AX94" i="2"/>
  <c r="AW94" i="2" s="1"/>
  <c r="AX114" i="2"/>
  <c r="AW114" i="2" s="1"/>
  <c r="AP20" i="2"/>
  <c r="AO20" i="2" s="1"/>
  <c r="AP9" i="2"/>
  <c r="AO9" i="2" s="1"/>
  <c r="BN115" i="2"/>
  <c r="BM115" i="2" s="1"/>
  <c r="BN109" i="2"/>
  <c r="BM109" i="2" s="1"/>
  <c r="BN105" i="2"/>
  <c r="BM105" i="2" s="1"/>
  <c r="BN103" i="2"/>
  <c r="BM103" i="2" s="1"/>
  <c r="BN97" i="2"/>
  <c r="BM97" i="2" s="1"/>
  <c r="BN96" i="2"/>
  <c r="BM96" i="2" s="1"/>
  <c r="BN85" i="2"/>
  <c r="BM85" i="2" s="1"/>
  <c r="BN90" i="2"/>
  <c r="BM90" i="2" s="1"/>
  <c r="BN91" i="2"/>
  <c r="BM91" i="2" s="1"/>
  <c r="BN68" i="2"/>
  <c r="BM68" i="2" s="1"/>
  <c r="BN66" i="2"/>
  <c r="BM66" i="2" s="1"/>
  <c r="BN65" i="2"/>
  <c r="BM65" i="2" s="1"/>
  <c r="BN71" i="2"/>
  <c r="BM71" i="2" s="1"/>
  <c r="BN34" i="2"/>
  <c r="BM34" i="2" s="1"/>
  <c r="BN13" i="2"/>
  <c r="BM13" i="2" s="1"/>
  <c r="BN37" i="2"/>
  <c r="BM37" i="2" s="1"/>
  <c r="BN21" i="2"/>
  <c r="BM21" i="2" s="1"/>
  <c r="BN7" i="2"/>
  <c r="BM7" i="2" s="1"/>
  <c r="BN41" i="2"/>
  <c r="BM41" i="2" s="1"/>
  <c r="BN43" i="2"/>
  <c r="BM43" i="2" s="1"/>
  <c r="BN40" i="2"/>
  <c r="BM40" i="2" s="1"/>
  <c r="BN118" i="2"/>
  <c r="BM118" i="2" s="1"/>
  <c r="BN110" i="2"/>
  <c r="BM110" i="2" s="1"/>
  <c r="BN102" i="2"/>
  <c r="BM102" i="2" s="1"/>
  <c r="BN108" i="2"/>
  <c r="BM108" i="2" s="1"/>
  <c r="BN95" i="2"/>
  <c r="BM95" i="2" s="1"/>
  <c r="BN93" i="2"/>
  <c r="BM93" i="2" s="1"/>
  <c r="BN83" i="2"/>
  <c r="BM83" i="2" s="1"/>
  <c r="BN86" i="2"/>
  <c r="BM86" i="2" s="1"/>
  <c r="BN78" i="2"/>
  <c r="BM78" i="2" s="1"/>
  <c r="BN67" i="2"/>
  <c r="BM67" i="2" s="1"/>
  <c r="BN70" i="2"/>
  <c r="BM70" i="2" s="1"/>
  <c r="BN74" i="2"/>
  <c r="BM74" i="2" s="1"/>
  <c r="BN46" i="2"/>
  <c r="BM46" i="2" s="1"/>
  <c r="BN30" i="2"/>
  <c r="BM30" i="2" s="1"/>
  <c r="BN6" i="2"/>
  <c r="BM6" i="2" s="1"/>
  <c r="BN33" i="2"/>
  <c r="BM33" i="2" s="1"/>
  <c r="BN18" i="2"/>
  <c r="BM18" i="2" s="1"/>
  <c r="BN36" i="2"/>
  <c r="BM36" i="2" s="1"/>
  <c r="BN27" i="2"/>
  <c r="BM27" i="2" s="1"/>
  <c r="BN35" i="2"/>
  <c r="BM35" i="2" s="1"/>
  <c r="AX28" i="2"/>
  <c r="AW28" i="2" s="1"/>
  <c r="AX32" i="2"/>
  <c r="AW32" i="2" s="1"/>
  <c r="AX14" i="2"/>
  <c r="AW14" i="2" s="1"/>
  <c r="AX69" i="2"/>
  <c r="AW69" i="2" s="1"/>
  <c r="AX34" i="2"/>
  <c r="AW34" i="2" s="1"/>
  <c r="AX91" i="2"/>
  <c r="AW91" i="2" s="1"/>
  <c r="AX73" i="2"/>
  <c r="AW73" i="2" s="1"/>
  <c r="AX100" i="2"/>
  <c r="AW100" i="2" s="1"/>
  <c r="AX97" i="2"/>
  <c r="AW97" i="2" s="1"/>
  <c r="AX105" i="2"/>
  <c r="AW105" i="2" s="1"/>
  <c r="AX115" i="2"/>
  <c r="AW115" i="2" s="1"/>
  <c r="AX43" i="2"/>
  <c r="AW43" i="2" s="1"/>
  <c r="AX4" i="2"/>
  <c r="AW4" i="2" s="1"/>
  <c r="AX19" i="2"/>
  <c r="AW19" i="2" s="1"/>
  <c r="AL81" i="2"/>
  <c r="AK81" i="2" s="1"/>
  <c r="AL67" i="2"/>
  <c r="AK67" i="2" s="1"/>
  <c r="AL91" i="2"/>
  <c r="AK91" i="2" s="1"/>
  <c r="AL116" i="2"/>
  <c r="AK116" i="2" s="1"/>
  <c r="AL36" i="2"/>
  <c r="AK36" i="2" s="1"/>
  <c r="AL101" i="2"/>
  <c r="AK101" i="2" s="1"/>
  <c r="AL78" i="2"/>
  <c r="AK78" i="2" s="1"/>
  <c r="AL103" i="2"/>
  <c r="AK103" i="2" s="1"/>
  <c r="AL42" i="2"/>
  <c r="AK42" i="2" s="1"/>
  <c r="AC21" i="2"/>
  <c r="AL88" i="2"/>
  <c r="AK88" i="2" s="1"/>
  <c r="AL106" i="2"/>
  <c r="AK106" i="2" s="1"/>
  <c r="AL38" i="2"/>
  <c r="AK38" i="2" s="1"/>
  <c r="AL70" i="2"/>
  <c r="AK70" i="2" s="1"/>
  <c r="AL45" i="2"/>
  <c r="AK45" i="2" s="1"/>
  <c r="AL69" i="2"/>
  <c r="AK69" i="2" s="1"/>
  <c r="AL79" i="2"/>
  <c r="AK79" i="2" s="1"/>
  <c r="AL68" i="2"/>
  <c r="AK68" i="2" s="1"/>
  <c r="AL83" i="2"/>
  <c r="AK83" i="2" s="1"/>
  <c r="AL95" i="2"/>
  <c r="AK95" i="2" s="1"/>
  <c r="AL99" i="2"/>
  <c r="AK99" i="2" s="1"/>
  <c r="AL100" i="2"/>
  <c r="AK100" i="2" s="1"/>
  <c r="AL94" i="2"/>
  <c r="AK94" i="2" s="1"/>
  <c r="AL105" i="2"/>
  <c r="AK105" i="2" s="1"/>
  <c r="AL110" i="2"/>
  <c r="AK110" i="2" s="1"/>
  <c r="AL118" i="2"/>
  <c r="AK118" i="2" s="1"/>
  <c r="BN24" i="2"/>
  <c r="BM24" i="2" s="1"/>
  <c r="BN19" i="2"/>
  <c r="BM19" i="2" s="1"/>
  <c r="BN16" i="2"/>
  <c r="BM16" i="2" s="1"/>
  <c r="BN20" i="2"/>
  <c r="BM20" i="2" s="1"/>
  <c r="BN9" i="2"/>
  <c r="BM9" i="2" s="1"/>
  <c r="AL65" i="2"/>
  <c r="AK65" i="2" s="1"/>
  <c r="AL77" i="2"/>
  <c r="AK77" i="2" s="1"/>
  <c r="AL74" i="2"/>
  <c r="AK74" i="2" s="1"/>
  <c r="AL82" i="2"/>
  <c r="AK82" i="2" s="1"/>
  <c r="AL73" i="2"/>
  <c r="AK73" i="2" s="1"/>
  <c r="AL84" i="2"/>
  <c r="AK84" i="2" s="1"/>
  <c r="AL97" i="2"/>
  <c r="AK97" i="2" s="1"/>
  <c r="AL85" i="2"/>
  <c r="AK85" i="2" s="1"/>
  <c r="AL92" i="2"/>
  <c r="AK92" i="2" s="1"/>
  <c r="AL98" i="2"/>
  <c r="AK98" i="2" s="1"/>
  <c r="AL108" i="2"/>
  <c r="AK108" i="2" s="1"/>
  <c r="AL109" i="2"/>
  <c r="AK109" i="2" s="1"/>
  <c r="AL115" i="2"/>
  <c r="AK115" i="2" s="1"/>
  <c r="AL41" i="2"/>
  <c r="AK41" i="2" s="1"/>
  <c r="BF43" i="2"/>
  <c r="BE43" i="2" s="1"/>
  <c r="BF9" i="2"/>
  <c r="BE9" i="2" s="1"/>
  <c r="BF20" i="2"/>
  <c r="BE20" i="2" s="1"/>
  <c r="AL72" i="2"/>
  <c r="AK72" i="2" s="1"/>
  <c r="AL44" i="2"/>
  <c r="AK44" i="2" s="1"/>
  <c r="AL34" i="2"/>
  <c r="AK34" i="2" s="1"/>
  <c r="AL75" i="2"/>
  <c r="AK75" i="2" s="1"/>
  <c r="AL90" i="2"/>
  <c r="AK90" i="2" s="1"/>
  <c r="AL64" i="2"/>
  <c r="AK64" i="2" s="1"/>
  <c r="AL76" i="2"/>
  <c r="AK76" i="2" s="1"/>
  <c r="AL86" i="2"/>
  <c r="AK86" i="2" s="1"/>
  <c r="AL89" i="2"/>
  <c r="AK89" i="2" s="1"/>
  <c r="AL87" i="2"/>
  <c r="AK87" i="2" s="1"/>
  <c r="AL96" i="2"/>
  <c r="AK96" i="2" s="1"/>
  <c r="AL102" i="2"/>
  <c r="AK102" i="2" s="1"/>
  <c r="AL104" i="2"/>
  <c r="AK104" i="2" s="1"/>
  <c r="AL114" i="2"/>
  <c r="AK114" i="2" s="1"/>
  <c r="AL80" i="2"/>
  <c r="AK80" i="2" s="1"/>
  <c r="AL29" i="2"/>
  <c r="AK29" i="2" s="1"/>
  <c r="AL28" i="2"/>
  <c r="AK28" i="2" s="1"/>
  <c r="AL26" i="2"/>
  <c r="AK26" i="2" s="1"/>
  <c r="AL19" i="2"/>
  <c r="AK19" i="2" s="1"/>
  <c r="AL16" i="2"/>
  <c r="AK16" i="2" s="1"/>
  <c r="AL11" i="2"/>
  <c r="AK11" i="2" s="1"/>
  <c r="AL6" i="2"/>
  <c r="AK6" i="2" s="1"/>
  <c r="AL43" i="2"/>
  <c r="AK43" i="2" s="1"/>
  <c r="AL20" i="2"/>
  <c r="AK20" i="2" s="1"/>
  <c r="AL12" i="2"/>
  <c r="AK12" i="2" s="1"/>
  <c r="AL46" i="2"/>
  <c r="AK46" i="2" s="1"/>
  <c r="AL39" i="2"/>
  <c r="AK39" i="2" s="1"/>
  <c r="AL37" i="2"/>
  <c r="AK37" i="2" s="1"/>
  <c r="AL35" i="2"/>
  <c r="AK35" i="2" s="1"/>
  <c r="AL32" i="2"/>
  <c r="AK32" i="2" s="1"/>
  <c r="AL27" i="2"/>
  <c r="AK27" i="2" s="1"/>
  <c r="AL25" i="2"/>
  <c r="AK25" i="2" s="1"/>
  <c r="AL22" i="2"/>
  <c r="AK22" i="2" s="1"/>
  <c r="AL15" i="2"/>
  <c r="AK15" i="2" s="1"/>
  <c r="AL14" i="2"/>
  <c r="AK14" i="2" s="1"/>
  <c r="AL40" i="2"/>
  <c r="AK40" i="2" s="1"/>
  <c r="AL30" i="2"/>
  <c r="AK30" i="2" s="1"/>
  <c r="AL18" i="2"/>
  <c r="AK18" i="2" s="1"/>
  <c r="AL8" i="2"/>
  <c r="AK8" i="2" s="1"/>
  <c r="AL71" i="2"/>
  <c r="AK71" i="2" s="1"/>
  <c r="AL33" i="2"/>
  <c r="AK33" i="2" s="1"/>
  <c r="AL31" i="2"/>
  <c r="AK31" i="2" s="1"/>
  <c r="AL24" i="2"/>
  <c r="AK24" i="2" s="1"/>
  <c r="AL23" i="2"/>
  <c r="AK23" i="2" s="1"/>
  <c r="AL21" i="2"/>
  <c r="AK21" i="2" s="1"/>
  <c r="AL13" i="2"/>
  <c r="AK13" i="2" s="1"/>
  <c r="AL10" i="2"/>
  <c r="AK10" i="2" s="1"/>
  <c r="AL7" i="2"/>
  <c r="AK7" i="2" s="1"/>
  <c r="AL5" i="2"/>
  <c r="AK5" i="2" s="1"/>
  <c r="AL4" i="2"/>
  <c r="AK4" i="2" s="1"/>
  <c r="AL9" i="2"/>
  <c r="AK9" i="2" s="1"/>
  <c r="Q65" i="2"/>
  <c r="AC20" i="2"/>
  <c r="AT80" i="2"/>
  <c r="AS80" i="2" s="1"/>
  <c r="AT72" i="2"/>
  <c r="AS72" i="2" s="1"/>
  <c r="AT46" i="2"/>
  <c r="AS46" i="2" s="1"/>
  <c r="AT39" i="2"/>
  <c r="AS39" i="2" s="1"/>
  <c r="AT35" i="2"/>
  <c r="AS35" i="2" s="1"/>
  <c r="AT27" i="2"/>
  <c r="AS27" i="2" s="1"/>
  <c r="AT24" i="2"/>
  <c r="AS24" i="2" s="1"/>
  <c r="AT21" i="2"/>
  <c r="AS21" i="2" s="1"/>
  <c r="AT13" i="2"/>
  <c r="AS13" i="2" s="1"/>
  <c r="AT10" i="2"/>
  <c r="AS10" i="2" s="1"/>
  <c r="AT22" i="2"/>
  <c r="AS22" i="2" s="1"/>
  <c r="AT14" i="2"/>
  <c r="AS14" i="2" s="1"/>
  <c r="AT33" i="2"/>
  <c r="AS33" i="2" s="1"/>
  <c r="AT31" i="2"/>
  <c r="AS31" i="2" s="1"/>
  <c r="AT23" i="2"/>
  <c r="AS23" i="2" s="1"/>
  <c r="AT20" i="2"/>
  <c r="AS20" i="2" s="1"/>
  <c r="AT18" i="2"/>
  <c r="AS18" i="2" s="1"/>
  <c r="AT12" i="2"/>
  <c r="AS12" i="2" s="1"/>
  <c r="AT9" i="2"/>
  <c r="AS9" i="2" s="1"/>
  <c r="AT8" i="2"/>
  <c r="AS8" i="2" s="1"/>
  <c r="AT6" i="2"/>
  <c r="AS6" i="2" s="1"/>
  <c r="AT5" i="2"/>
  <c r="AS5" i="2" s="1"/>
  <c r="AT4" i="2"/>
  <c r="AS4" i="2" s="1"/>
  <c r="AT43" i="2"/>
  <c r="AS43" i="2" s="1"/>
  <c r="AT40" i="2"/>
  <c r="AS40" i="2" s="1"/>
  <c r="AT29" i="2"/>
  <c r="AS29" i="2" s="1"/>
  <c r="AT28" i="2"/>
  <c r="AS28" i="2" s="1"/>
  <c r="AT26" i="2"/>
  <c r="AS26" i="2" s="1"/>
  <c r="AT19" i="2"/>
  <c r="AS19" i="2" s="1"/>
  <c r="AT16" i="2"/>
  <c r="AS16" i="2" s="1"/>
  <c r="AT25" i="2"/>
  <c r="AS25" i="2" s="1"/>
  <c r="AT15" i="2"/>
  <c r="AS15" i="2" s="1"/>
  <c r="AT11" i="2"/>
  <c r="AS11" i="2" s="1"/>
  <c r="AT7" i="2"/>
  <c r="AS7" i="2" s="1"/>
  <c r="AB10" i="2"/>
  <c r="AV118" i="2"/>
  <c r="AU118" i="2" s="1"/>
  <c r="AV116" i="2"/>
  <c r="AU116" i="2" s="1"/>
  <c r="AV114" i="2"/>
  <c r="AU114" i="2" s="1"/>
  <c r="AV117" i="2"/>
  <c r="AU117" i="2" s="1"/>
  <c r="AV115" i="2"/>
  <c r="AU115" i="2" s="1"/>
  <c r="AV107" i="2"/>
  <c r="AU107" i="2" s="1"/>
  <c r="AV108" i="2"/>
  <c r="AU108" i="2" s="1"/>
  <c r="AV106" i="2"/>
  <c r="AU106" i="2" s="1"/>
  <c r="AV109" i="2"/>
  <c r="AU109" i="2" s="1"/>
  <c r="AV100" i="2"/>
  <c r="AU100" i="2" s="1"/>
  <c r="AV95" i="2"/>
  <c r="AU95" i="2" s="1"/>
  <c r="AV105" i="2"/>
  <c r="AU105" i="2" s="1"/>
  <c r="AV104" i="2"/>
  <c r="AU104" i="2" s="1"/>
  <c r="AV101" i="2"/>
  <c r="AU101" i="2" s="1"/>
  <c r="AV110" i="2"/>
  <c r="AU110" i="2" s="1"/>
  <c r="AV103" i="2"/>
  <c r="AU103" i="2" s="1"/>
  <c r="AV102" i="2"/>
  <c r="AU102" i="2" s="1"/>
  <c r="AV96" i="2"/>
  <c r="AU96" i="2" s="1"/>
  <c r="AV94" i="2"/>
  <c r="AU94" i="2" s="1"/>
  <c r="AV93" i="2"/>
  <c r="AU93" i="2" s="1"/>
  <c r="AV99" i="2"/>
  <c r="AU99" i="2" s="1"/>
  <c r="AV98" i="2"/>
  <c r="AU98" i="2" s="1"/>
  <c r="AV97" i="2"/>
  <c r="AU97" i="2" s="1"/>
  <c r="AV92" i="2"/>
  <c r="AU92" i="2" s="1"/>
  <c r="AV91" i="2"/>
  <c r="AU91" i="2" s="1"/>
  <c r="AV90" i="2"/>
  <c r="AU90" i="2" s="1"/>
  <c r="AV86" i="2"/>
  <c r="AU86" i="2" s="1"/>
  <c r="AV84" i="2"/>
  <c r="AU84" i="2" s="1"/>
  <c r="AV89" i="2"/>
  <c r="AU89" i="2" s="1"/>
  <c r="AV87" i="2"/>
  <c r="AU87" i="2" s="1"/>
  <c r="AV85" i="2"/>
  <c r="AU85" i="2" s="1"/>
  <c r="AV83" i="2"/>
  <c r="AU83" i="2" s="1"/>
  <c r="AV80" i="2"/>
  <c r="AU80" i="2" s="1"/>
  <c r="AV75" i="2"/>
  <c r="AU75" i="2" s="1"/>
  <c r="AV74" i="2"/>
  <c r="AU74" i="2" s="1"/>
  <c r="AV70" i="2"/>
  <c r="AU70" i="2" s="1"/>
  <c r="AV81" i="2"/>
  <c r="AU81" i="2" s="1"/>
  <c r="AV77" i="2"/>
  <c r="AU77" i="2" s="1"/>
  <c r="AV72" i="2"/>
  <c r="AU72" i="2" s="1"/>
  <c r="AV71" i="2"/>
  <c r="AU71" i="2" s="1"/>
  <c r="AV69" i="2"/>
  <c r="AU69" i="2" s="1"/>
  <c r="AV65" i="2"/>
  <c r="AU65" i="2" s="1"/>
  <c r="AV46" i="2"/>
  <c r="AU46" i="2" s="1"/>
  <c r="AV82" i="2"/>
  <c r="AU82" i="2" s="1"/>
  <c r="AV68" i="2"/>
  <c r="AU68" i="2" s="1"/>
  <c r="AV66" i="2"/>
  <c r="AU66" i="2" s="1"/>
  <c r="AV88" i="2"/>
  <c r="AU88" i="2" s="1"/>
  <c r="AV76" i="2"/>
  <c r="AU76" i="2" s="1"/>
  <c r="AV73" i="2"/>
  <c r="AU73" i="2" s="1"/>
  <c r="AV67" i="2"/>
  <c r="AU67" i="2" s="1"/>
  <c r="AV64" i="2"/>
  <c r="AU64" i="2" s="1"/>
  <c r="AV78" i="2"/>
  <c r="AU78" i="2" s="1"/>
  <c r="AV42" i="2"/>
  <c r="AU42" i="2" s="1"/>
  <c r="AV41" i="2"/>
  <c r="AU41" i="2" s="1"/>
  <c r="AV36" i="2"/>
  <c r="AU36" i="2" s="1"/>
  <c r="AV32" i="2"/>
  <c r="AU32" i="2" s="1"/>
  <c r="AV28" i="2"/>
  <c r="AU28" i="2" s="1"/>
  <c r="AV24" i="2"/>
  <c r="AU24" i="2" s="1"/>
  <c r="AV20" i="2"/>
  <c r="AU20" i="2" s="1"/>
  <c r="AV15" i="2"/>
  <c r="AU15" i="2" s="1"/>
  <c r="AV10" i="2"/>
  <c r="AU10" i="2" s="1"/>
  <c r="AV5" i="2"/>
  <c r="AU5" i="2" s="1"/>
  <c r="AV43" i="2"/>
  <c r="AU43" i="2" s="1"/>
  <c r="AV40" i="2"/>
  <c r="AU40" i="2" s="1"/>
  <c r="AV39" i="2"/>
  <c r="AU39" i="2" s="1"/>
  <c r="AV35" i="2"/>
  <c r="AU35" i="2" s="1"/>
  <c r="AV31" i="2"/>
  <c r="AU31" i="2" s="1"/>
  <c r="AV27" i="2"/>
  <c r="AU27" i="2" s="1"/>
  <c r="AV23" i="2"/>
  <c r="AU23" i="2" s="1"/>
  <c r="AV19" i="2"/>
  <c r="AU19" i="2" s="1"/>
  <c r="AV16" i="2"/>
  <c r="AU16" i="2" s="1"/>
  <c r="AV11" i="2"/>
  <c r="AU11" i="2" s="1"/>
  <c r="AV9" i="2"/>
  <c r="AU9" i="2" s="1"/>
  <c r="AV44" i="2"/>
  <c r="AU44" i="2" s="1"/>
  <c r="AV38" i="2"/>
  <c r="AU38" i="2" s="1"/>
  <c r="AV34" i="2"/>
  <c r="AU34" i="2" s="1"/>
  <c r="AV37" i="2"/>
  <c r="AU37" i="2" s="1"/>
  <c r="AV26" i="2"/>
  <c r="AU26" i="2" s="1"/>
  <c r="AV22" i="2"/>
  <c r="AU22" i="2" s="1"/>
  <c r="AV13" i="2"/>
  <c r="AU13" i="2" s="1"/>
  <c r="AV7" i="2"/>
  <c r="AU7" i="2" s="1"/>
  <c r="AV14" i="2"/>
  <c r="AU14" i="2" s="1"/>
  <c r="AV25" i="2"/>
  <c r="AU25" i="2" s="1"/>
  <c r="AV6" i="2"/>
  <c r="AU6" i="2" s="1"/>
  <c r="AV18" i="2"/>
  <c r="AU18" i="2" s="1"/>
  <c r="AV45" i="2"/>
  <c r="AU45" i="2" s="1"/>
  <c r="AV29" i="2"/>
  <c r="AU29" i="2" s="1"/>
  <c r="AV21" i="2"/>
  <c r="AU21" i="2" s="1"/>
  <c r="AV12" i="2"/>
  <c r="AU12" i="2" s="1"/>
  <c r="AV8" i="2"/>
  <c r="AU8" i="2" s="1"/>
  <c r="AV4" i="2"/>
  <c r="AU4" i="2" s="1"/>
  <c r="AV33" i="2"/>
  <c r="AU33" i="2" s="1"/>
  <c r="AV30" i="2"/>
  <c r="AU30" i="2" s="1"/>
  <c r="AV79" i="2"/>
  <c r="AU79" i="2" s="1"/>
  <c r="AN118" i="2"/>
  <c r="AM118" i="2" s="1"/>
  <c r="AN116" i="2"/>
  <c r="AM116" i="2" s="1"/>
  <c r="AN114" i="2"/>
  <c r="AM114" i="2" s="1"/>
  <c r="AN117" i="2"/>
  <c r="AM117" i="2" s="1"/>
  <c r="AN115" i="2"/>
  <c r="AM115" i="2" s="1"/>
  <c r="AN107" i="2"/>
  <c r="AM107" i="2" s="1"/>
  <c r="AN108" i="2"/>
  <c r="AM108" i="2" s="1"/>
  <c r="AN106" i="2"/>
  <c r="AM106" i="2" s="1"/>
  <c r="AN110" i="2"/>
  <c r="AM110" i="2" s="1"/>
  <c r="AN103" i="2"/>
  <c r="AM103" i="2" s="1"/>
  <c r="AN100" i="2"/>
  <c r="AM100" i="2" s="1"/>
  <c r="AN95" i="2"/>
  <c r="AM95" i="2" s="1"/>
  <c r="AN105" i="2"/>
  <c r="AM105" i="2" s="1"/>
  <c r="AN104" i="2"/>
  <c r="AM104" i="2" s="1"/>
  <c r="AN101" i="2"/>
  <c r="AM101" i="2" s="1"/>
  <c r="AN109" i="2"/>
  <c r="AM109" i="2" s="1"/>
  <c r="AN102" i="2"/>
  <c r="AM102" i="2" s="1"/>
  <c r="AN99" i="2"/>
  <c r="AM99" i="2" s="1"/>
  <c r="AN93" i="2"/>
  <c r="AM93" i="2" s="1"/>
  <c r="AN98" i="2"/>
  <c r="AM98" i="2" s="1"/>
  <c r="AN86" i="2"/>
  <c r="AM86" i="2" s="1"/>
  <c r="AN84" i="2"/>
  <c r="AM84" i="2" s="1"/>
  <c r="AN97" i="2"/>
  <c r="AM97" i="2" s="1"/>
  <c r="AN88" i="2"/>
  <c r="AM88" i="2" s="1"/>
  <c r="AN96" i="2"/>
  <c r="AM96" i="2" s="1"/>
  <c r="AN92" i="2"/>
  <c r="AM92" i="2" s="1"/>
  <c r="AN91" i="2"/>
  <c r="AM91" i="2" s="1"/>
  <c r="AN90" i="2"/>
  <c r="AM90" i="2" s="1"/>
  <c r="AN87" i="2"/>
  <c r="AM87" i="2" s="1"/>
  <c r="AN85" i="2"/>
  <c r="AM85" i="2" s="1"/>
  <c r="AN83" i="2"/>
  <c r="AM83" i="2" s="1"/>
  <c r="AN89" i="2"/>
  <c r="AM89" i="2" s="1"/>
  <c r="AN80" i="2"/>
  <c r="AM80" i="2" s="1"/>
  <c r="AN75" i="2"/>
  <c r="AM75" i="2" s="1"/>
  <c r="AN74" i="2"/>
  <c r="AM74" i="2" s="1"/>
  <c r="AN70" i="2"/>
  <c r="AM70" i="2" s="1"/>
  <c r="AN81" i="2"/>
  <c r="AM81" i="2" s="1"/>
  <c r="AN77" i="2"/>
  <c r="AM77" i="2" s="1"/>
  <c r="AN72" i="2"/>
  <c r="AM72" i="2" s="1"/>
  <c r="AN71" i="2"/>
  <c r="AM71" i="2" s="1"/>
  <c r="AN69" i="2"/>
  <c r="AM69" i="2" s="1"/>
  <c r="AN65" i="2"/>
  <c r="AM65" i="2" s="1"/>
  <c r="AN82" i="2"/>
  <c r="AM82" i="2" s="1"/>
  <c r="AN68" i="2"/>
  <c r="AM68" i="2" s="1"/>
  <c r="AN66" i="2"/>
  <c r="AM66" i="2" s="1"/>
  <c r="AN76" i="2"/>
  <c r="AM76" i="2" s="1"/>
  <c r="AN73" i="2"/>
  <c r="AM73" i="2" s="1"/>
  <c r="AN67" i="2"/>
  <c r="AM67" i="2" s="1"/>
  <c r="AN64" i="2"/>
  <c r="AM64" i="2" s="1"/>
  <c r="AN79" i="2"/>
  <c r="AM79" i="2" s="1"/>
  <c r="AN42" i="2"/>
  <c r="AM42" i="2" s="1"/>
  <c r="AN41" i="2"/>
  <c r="AM41" i="2" s="1"/>
  <c r="AN36" i="2"/>
  <c r="AM36" i="2" s="1"/>
  <c r="AN32" i="2"/>
  <c r="AM32" i="2" s="1"/>
  <c r="AN28" i="2"/>
  <c r="AM28" i="2" s="1"/>
  <c r="AN24" i="2"/>
  <c r="AM24" i="2" s="1"/>
  <c r="AN20" i="2"/>
  <c r="AM20" i="2" s="1"/>
  <c r="AN15" i="2"/>
  <c r="AM15" i="2" s="1"/>
  <c r="AN10" i="2"/>
  <c r="AM10" i="2" s="1"/>
  <c r="AN5" i="2"/>
  <c r="AM5" i="2" s="1"/>
  <c r="AN78" i="2"/>
  <c r="AM78" i="2" s="1"/>
  <c r="AN46" i="2"/>
  <c r="AM46" i="2" s="1"/>
  <c r="AN43" i="2"/>
  <c r="AM43" i="2" s="1"/>
  <c r="AN40" i="2"/>
  <c r="AM40" i="2" s="1"/>
  <c r="AN39" i="2"/>
  <c r="AM39" i="2" s="1"/>
  <c r="AN35" i="2"/>
  <c r="AM35" i="2" s="1"/>
  <c r="AN31" i="2"/>
  <c r="AM31" i="2" s="1"/>
  <c r="AN27" i="2"/>
  <c r="AM27" i="2" s="1"/>
  <c r="AN23" i="2"/>
  <c r="AM23" i="2" s="1"/>
  <c r="AN19" i="2"/>
  <c r="AM19" i="2" s="1"/>
  <c r="AN16" i="2"/>
  <c r="AM16" i="2" s="1"/>
  <c r="AN11" i="2"/>
  <c r="AM11" i="2" s="1"/>
  <c r="AN9" i="2"/>
  <c r="AM9" i="2" s="1"/>
  <c r="AN44" i="2"/>
  <c r="AM44" i="2" s="1"/>
  <c r="AN38" i="2"/>
  <c r="AM38" i="2" s="1"/>
  <c r="AN34" i="2"/>
  <c r="AM34" i="2" s="1"/>
  <c r="AN29" i="2"/>
  <c r="AM29" i="2" s="1"/>
  <c r="AN25" i="2"/>
  <c r="AM25" i="2" s="1"/>
  <c r="AN21" i="2"/>
  <c r="AM21" i="2" s="1"/>
  <c r="AN12" i="2"/>
  <c r="AM12" i="2" s="1"/>
  <c r="AN8" i="2"/>
  <c r="AM8" i="2" s="1"/>
  <c r="AN7" i="2"/>
  <c r="AM7" i="2" s="1"/>
  <c r="AN4" i="2"/>
  <c r="AM4" i="2" s="1"/>
  <c r="AN45" i="2"/>
  <c r="AM45" i="2" s="1"/>
  <c r="AN33" i="2"/>
  <c r="AM33" i="2" s="1"/>
  <c r="AN6" i="2"/>
  <c r="AM6" i="2" s="1"/>
  <c r="AN94" i="2"/>
  <c r="AM94" i="2" s="1"/>
  <c r="AN37" i="2"/>
  <c r="AM37" i="2" s="1"/>
  <c r="AN30" i="2"/>
  <c r="AM30" i="2" s="1"/>
  <c r="AN26" i="2"/>
  <c r="AM26" i="2" s="1"/>
  <c r="AN22" i="2"/>
  <c r="AM22" i="2" s="1"/>
  <c r="AN18" i="2"/>
  <c r="AM18" i="2" s="1"/>
  <c r="AN14" i="2"/>
  <c r="AM14" i="2" s="1"/>
  <c r="AN13" i="2"/>
  <c r="AM13" i="2" s="1"/>
  <c r="BL118" i="2"/>
  <c r="BK118" i="2" s="1"/>
  <c r="BL116" i="2"/>
  <c r="BK116" i="2" s="1"/>
  <c r="BL114" i="2"/>
  <c r="BK114" i="2" s="1"/>
  <c r="BL117" i="2"/>
  <c r="BK117" i="2" s="1"/>
  <c r="BL115" i="2"/>
  <c r="BK115" i="2" s="1"/>
  <c r="BL107" i="2"/>
  <c r="BK107" i="2" s="1"/>
  <c r="BL108" i="2"/>
  <c r="BK108" i="2" s="1"/>
  <c r="BL106" i="2"/>
  <c r="BK106" i="2" s="1"/>
  <c r="BL102" i="2"/>
  <c r="BK102" i="2" s="1"/>
  <c r="BL109" i="2"/>
  <c r="BK109" i="2" s="1"/>
  <c r="BL100" i="2"/>
  <c r="BK100" i="2" s="1"/>
  <c r="BL95" i="2"/>
  <c r="BK95" i="2" s="1"/>
  <c r="BL105" i="2"/>
  <c r="BK105" i="2" s="1"/>
  <c r="BL104" i="2"/>
  <c r="BK104" i="2" s="1"/>
  <c r="BL101" i="2"/>
  <c r="BK101" i="2" s="1"/>
  <c r="BL110" i="2"/>
  <c r="BK110" i="2" s="1"/>
  <c r="BL103" i="2"/>
  <c r="BK103" i="2" s="1"/>
  <c r="BL96" i="2"/>
  <c r="BK96" i="2" s="1"/>
  <c r="BL94" i="2"/>
  <c r="BK94" i="2" s="1"/>
  <c r="BL93" i="2"/>
  <c r="BK93" i="2" s="1"/>
  <c r="BL92" i="2"/>
  <c r="BK92" i="2" s="1"/>
  <c r="BL91" i="2"/>
  <c r="BK91" i="2" s="1"/>
  <c r="BL90" i="2"/>
  <c r="BK90" i="2" s="1"/>
  <c r="BL86" i="2"/>
  <c r="BK86" i="2" s="1"/>
  <c r="BL84" i="2"/>
  <c r="BK84" i="2" s="1"/>
  <c r="BL89" i="2"/>
  <c r="BK89" i="2" s="1"/>
  <c r="BL87" i="2"/>
  <c r="BK87" i="2" s="1"/>
  <c r="BL85" i="2"/>
  <c r="BK85" i="2" s="1"/>
  <c r="BL83" i="2"/>
  <c r="BK83" i="2" s="1"/>
  <c r="BL98" i="2"/>
  <c r="BK98" i="2" s="1"/>
  <c r="BL82" i="2"/>
  <c r="BK82" i="2" s="1"/>
  <c r="BL80" i="2"/>
  <c r="BK80" i="2" s="1"/>
  <c r="BL75" i="2"/>
  <c r="BK75" i="2" s="1"/>
  <c r="BL74" i="2"/>
  <c r="BK74" i="2" s="1"/>
  <c r="BL70" i="2"/>
  <c r="BK70" i="2" s="1"/>
  <c r="BL99" i="2"/>
  <c r="BK99" i="2" s="1"/>
  <c r="BL81" i="2"/>
  <c r="BK81" i="2" s="1"/>
  <c r="BL77" i="2"/>
  <c r="BK77" i="2" s="1"/>
  <c r="BL72" i="2"/>
  <c r="BK72" i="2" s="1"/>
  <c r="BL71" i="2"/>
  <c r="BK71" i="2" s="1"/>
  <c r="BL69" i="2"/>
  <c r="BK69" i="2" s="1"/>
  <c r="BL65" i="2"/>
  <c r="BK65" i="2" s="1"/>
  <c r="BL46" i="2"/>
  <c r="BK46" i="2" s="1"/>
  <c r="BL97" i="2"/>
  <c r="BK97" i="2" s="1"/>
  <c r="BL88" i="2"/>
  <c r="BK88" i="2" s="1"/>
  <c r="BL68" i="2"/>
  <c r="BK68" i="2" s="1"/>
  <c r="BL66" i="2"/>
  <c r="BK66" i="2" s="1"/>
  <c r="BL76" i="2"/>
  <c r="BK76" i="2" s="1"/>
  <c r="BL73" i="2"/>
  <c r="BK73" i="2" s="1"/>
  <c r="BL67" i="2"/>
  <c r="BK67" i="2" s="1"/>
  <c r="BL64" i="2"/>
  <c r="BK64" i="2" s="1"/>
  <c r="BL42" i="2"/>
  <c r="BK42" i="2" s="1"/>
  <c r="BL41" i="2"/>
  <c r="BK41" i="2" s="1"/>
  <c r="BL36" i="2"/>
  <c r="BK36" i="2" s="1"/>
  <c r="BL32" i="2"/>
  <c r="BK32" i="2" s="1"/>
  <c r="BL28" i="2"/>
  <c r="BK28" i="2" s="1"/>
  <c r="BL24" i="2"/>
  <c r="BK24" i="2" s="1"/>
  <c r="BL20" i="2"/>
  <c r="BK20" i="2" s="1"/>
  <c r="BL15" i="2"/>
  <c r="BK15" i="2" s="1"/>
  <c r="BL10" i="2"/>
  <c r="BK10" i="2" s="1"/>
  <c r="BL5" i="2"/>
  <c r="BK5" i="2" s="1"/>
  <c r="BL9" i="2"/>
  <c r="BK9" i="2" s="1"/>
  <c r="BL79" i="2"/>
  <c r="BK79" i="2" s="1"/>
  <c r="BL43" i="2"/>
  <c r="BK43" i="2" s="1"/>
  <c r="BL40" i="2"/>
  <c r="BK40" i="2" s="1"/>
  <c r="BL39" i="2"/>
  <c r="BK39" i="2" s="1"/>
  <c r="BL35" i="2"/>
  <c r="BK35" i="2" s="1"/>
  <c r="BL31" i="2"/>
  <c r="BK31" i="2" s="1"/>
  <c r="BL27" i="2"/>
  <c r="BK27" i="2" s="1"/>
  <c r="BL23" i="2"/>
  <c r="BK23" i="2" s="1"/>
  <c r="BL19" i="2"/>
  <c r="BK19" i="2" s="1"/>
  <c r="BL16" i="2"/>
  <c r="BK16" i="2" s="1"/>
  <c r="BL11" i="2"/>
  <c r="BK11" i="2" s="1"/>
  <c r="BL78" i="2"/>
  <c r="BK78" i="2" s="1"/>
  <c r="BL44" i="2"/>
  <c r="BK44" i="2" s="1"/>
  <c r="BL38" i="2"/>
  <c r="BK38" i="2" s="1"/>
  <c r="BL34" i="2"/>
  <c r="BK34" i="2" s="1"/>
  <c r="BL37" i="2"/>
  <c r="BK37" i="2" s="1"/>
  <c r="BL26" i="2"/>
  <c r="BK26" i="2" s="1"/>
  <c r="BL22" i="2"/>
  <c r="BK22" i="2" s="1"/>
  <c r="BL13" i="2"/>
  <c r="BK13" i="2" s="1"/>
  <c r="BL7" i="2"/>
  <c r="BK7" i="2" s="1"/>
  <c r="BL14" i="2"/>
  <c r="BK14" i="2" s="1"/>
  <c r="BL45" i="2"/>
  <c r="BK45" i="2" s="1"/>
  <c r="BL29" i="2"/>
  <c r="BK29" i="2" s="1"/>
  <c r="BL25" i="2"/>
  <c r="BK25" i="2" s="1"/>
  <c r="BL12" i="2"/>
  <c r="BK12" i="2" s="1"/>
  <c r="BL18" i="2"/>
  <c r="BK18" i="2" s="1"/>
  <c r="BL21" i="2"/>
  <c r="BK21" i="2" s="1"/>
  <c r="BL6" i="2"/>
  <c r="BK6" i="2" s="1"/>
  <c r="BL4" i="2"/>
  <c r="BK4" i="2" s="1"/>
  <c r="BL33" i="2"/>
  <c r="BK33" i="2" s="1"/>
  <c r="BL30" i="2"/>
  <c r="BK30" i="2" s="1"/>
  <c r="BL8" i="2"/>
  <c r="BK8" i="2" s="1"/>
  <c r="BR117" i="2"/>
  <c r="BQ117" i="2" s="1"/>
  <c r="BR115" i="2"/>
  <c r="BQ115" i="2" s="1"/>
  <c r="BR118" i="2"/>
  <c r="BQ118" i="2" s="1"/>
  <c r="BR116" i="2"/>
  <c r="BQ116" i="2" s="1"/>
  <c r="BR114" i="2"/>
  <c r="BQ114" i="2" s="1"/>
  <c r="BR109" i="2"/>
  <c r="BQ109" i="2" s="1"/>
  <c r="BR110" i="2"/>
  <c r="BQ110" i="2" s="1"/>
  <c r="BR104" i="2"/>
  <c r="BQ104" i="2" s="1"/>
  <c r="BR108" i="2"/>
  <c r="BQ108" i="2" s="1"/>
  <c r="BR105" i="2"/>
  <c r="BQ105" i="2" s="1"/>
  <c r="BR106" i="2"/>
  <c r="BQ106" i="2" s="1"/>
  <c r="BR98" i="2"/>
  <c r="BQ98" i="2" s="1"/>
  <c r="BR94" i="2"/>
  <c r="BQ94" i="2" s="1"/>
  <c r="BR102" i="2"/>
  <c r="BQ102" i="2" s="1"/>
  <c r="BR103" i="2"/>
  <c r="BQ103" i="2" s="1"/>
  <c r="BR107" i="2"/>
  <c r="BQ107" i="2" s="1"/>
  <c r="BR96" i="2"/>
  <c r="BQ96" i="2" s="1"/>
  <c r="BR92" i="2"/>
  <c r="BQ92" i="2" s="1"/>
  <c r="BR97" i="2"/>
  <c r="BQ97" i="2" s="1"/>
  <c r="BR95" i="2"/>
  <c r="BQ95" i="2" s="1"/>
  <c r="BR91" i="2"/>
  <c r="BQ91" i="2" s="1"/>
  <c r="BR87" i="2"/>
  <c r="BQ87" i="2" s="1"/>
  <c r="BR85" i="2"/>
  <c r="BQ85" i="2" s="1"/>
  <c r="BR83" i="2"/>
  <c r="BQ83" i="2" s="1"/>
  <c r="BR101" i="2"/>
  <c r="BQ101" i="2" s="1"/>
  <c r="BR93" i="2"/>
  <c r="BQ93" i="2" s="1"/>
  <c r="BR89" i="2"/>
  <c r="BQ89" i="2" s="1"/>
  <c r="BR100" i="2"/>
  <c r="BQ100" i="2" s="1"/>
  <c r="BR88" i="2"/>
  <c r="BQ88" i="2" s="1"/>
  <c r="BR86" i="2"/>
  <c r="BQ86" i="2" s="1"/>
  <c r="BR84" i="2"/>
  <c r="BQ84" i="2" s="1"/>
  <c r="BR82" i="2"/>
  <c r="BQ82" i="2" s="1"/>
  <c r="BR99" i="2"/>
  <c r="BQ99" i="2" s="1"/>
  <c r="BR78" i="2"/>
  <c r="BQ78" i="2" s="1"/>
  <c r="BR76" i="2"/>
  <c r="BQ76" i="2" s="1"/>
  <c r="BR73" i="2"/>
  <c r="BQ73" i="2" s="1"/>
  <c r="BR68" i="2"/>
  <c r="BQ68" i="2" s="1"/>
  <c r="BR67" i="2"/>
  <c r="BQ67" i="2" s="1"/>
  <c r="BR64" i="2"/>
  <c r="BQ64" i="2" s="1"/>
  <c r="BR90" i="2"/>
  <c r="BQ90" i="2" s="1"/>
  <c r="BR79" i="2"/>
  <c r="BQ79" i="2" s="1"/>
  <c r="BR66" i="2"/>
  <c r="BQ66" i="2" s="1"/>
  <c r="BR74" i="2"/>
  <c r="BQ74" i="2" s="1"/>
  <c r="BR77" i="2"/>
  <c r="BQ77" i="2" s="1"/>
  <c r="BR69" i="2"/>
  <c r="BQ69" i="2" s="1"/>
  <c r="BR81" i="2"/>
  <c r="BQ81" i="2" s="1"/>
  <c r="BR75" i="2"/>
  <c r="BQ75" i="2" s="1"/>
  <c r="BR65" i="2"/>
  <c r="BQ65" i="2" s="1"/>
  <c r="BR72" i="2"/>
  <c r="BQ72" i="2" s="1"/>
  <c r="BR44" i="2"/>
  <c r="BQ44" i="2" s="1"/>
  <c r="BR38" i="2"/>
  <c r="BQ38" i="2" s="1"/>
  <c r="BR34" i="2"/>
  <c r="BQ34" i="2" s="1"/>
  <c r="BR30" i="2"/>
  <c r="BQ30" i="2" s="1"/>
  <c r="BR26" i="2"/>
  <c r="BQ26" i="2" s="1"/>
  <c r="BR22" i="2"/>
  <c r="BQ22" i="2" s="1"/>
  <c r="BR13" i="2"/>
  <c r="BQ13" i="2" s="1"/>
  <c r="BR6" i="2"/>
  <c r="BQ6" i="2" s="1"/>
  <c r="BR7" i="2"/>
  <c r="BQ7" i="2" s="1"/>
  <c r="BR70" i="2"/>
  <c r="BQ70" i="2" s="1"/>
  <c r="BR46" i="2"/>
  <c r="BQ46" i="2" s="1"/>
  <c r="BR45" i="2"/>
  <c r="BQ45" i="2" s="1"/>
  <c r="BR37" i="2"/>
  <c r="BQ37" i="2" s="1"/>
  <c r="BR33" i="2"/>
  <c r="BQ33" i="2" s="1"/>
  <c r="BR29" i="2"/>
  <c r="BQ29" i="2" s="1"/>
  <c r="BR25" i="2"/>
  <c r="BQ25" i="2" s="1"/>
  <c r="BR21" i="2"/>
  <c r="BQ21" i="2" s="1"/>
  <c r="BR18" i="2"/>
  <c r="BQ18" i="2" s="1"/>
  <c r="BR14" i="2"/>
  <c r="BQ14" i="2" s="1"/>
  <c r="BR12" i="2"/>
  <c r="BQ12" i="2" s="1"/>
  <c r="BR8" i="2"/>
  <c r="BQ8" i="2" s="1"/>
  <c r="BR42" i="2"/>
  <c r="BQ42" i="2" s="1"/>
  <c r="BR41" i="2"/>
  <c r="BQ41" i="2" s="1"/>
  <c r="BR36" i="2"/>
  <c r="BQ36" i="2" s="1"/>
  <c r="BR32" i="2"/>
  <c r="BQ32" i="2" s="1"/>
  <c r="BR71" i="2"/>
  <c r="BQ71" i="2" s="1"/>
  <c r="BR27" i="2"/>
  <c r="BQ27" i="2" s="1"/>
  <c r="BR23" i="2"/>
  <c r="BQ23" i="2" s="1"/>
  <c r="BR5" i="2"/>
  <c r="BQ5" i="2" s="1"/>
  <c r="BR16" i="2"/>
  <c r="BQ16" i="2" s="1"/>
  <c r="BR11" i="2"/>
  <c r="BQ11" i="2" s="1"/>
  <c r="BR35" i="2"/>
  <c r="BQ35" i="2" s="1"/>
  <c r="BR28" i="2"/>
  <c r="BQ28" i="2" s="1"/>
  <c r="BR24" i="2"/>
  <c r="BQ24" i="2" s="1"/>
  <c r="BR20" i="2"/>
  <c r="BQ20" i="2" s="1"/>
  <c r="BR19" i="2"/>
  <c r="BQ19" i="2" s="1"/>
  <c r="BR9" i="2"/>
  <c r="BQ9" i="2" s="1"/>
  <c r="BR80" i="2"/>
  <c r="BQ80" i="2" s="1"/>
  <c r="BR43" i="2"/>
  <c r="BQ43" i="2" s="1"/>
  <c r="BR40" i="2"/>
  <c r="BQ40" i="2" s="1"/>
  <c r="BR31" i="2"/>
  <c r="BQ31" i="2" s="1"/>
  <c r="BR15" i="2"/>
  <c r="BQ15" i="2" s="1"/>
  <c r="BR10" i="2"/>
  <c r="BQ10" i="2" s="1"/>
  <c r="BR4" i="2"/>
  <c r="BQ4" i="2" s="1"/>
  <c r="BR39" i="2"/>
  <c r="BQ39" i="2" s="1"/>
  <c r="BT118" i="2"/>
  <c r="BS118" i="2" s="1"/>
  <c r="BT116" i="2"/>
  <c r="BS116" i="2" s="1"/>
  <c r="BT114" i="2"/>
  <c r="BS114" i="2" s="1"/>
  <c r="BT117" i="2"/>
  <c r="BS117" i="2" s="1"/>
  <c r="BT115" i="2"/>
  <c r="BS115" i="2" s="1"/>
  <c r="BT107" i="2"/>
  <c r="BS107" i="2" s="1"/>
  <c r="BT108" i="2"/>
  <c r="BS108" i="2" s="1"/>
  <c r="BT106" i="2"/>
  <c r="BS106" i="2" s="1"/>
  <c r="BT102" i="2"/>
  <c r="BS102" i="2" s="1"/>
  <c r="BT110" i="2"/>
  <c r="BS110" i="2" s="1"/>
  <c r="BT103" i="2"/>
  <c r="BS103" i="2" s="1"/>
  <c r="BT100" i="2"/>
  <c r="BS100" i="2" s="1"/>
  <c r="BT95" i="2"/>
  <c r="BS95" i="2" s="1"/>
  <c r="BT105" i="2"/>
  <c r="BS105" i="2" s="1"/>
  <c r="BT104" i="2"/>
  <c r="BS104" i="2" s="1"/>
  <c r="BT101" i="2"/>
  <c r="BS101" i="2" s="1"/>
  <c r="BT109" i="2"/>
  <c r="BS109" i="2" s="1"/>
  <c r="BT99" i="2"/>
  <c r="BS99" i="2" s="1"/>
  <c r="BT93" i="2"/>
  <c r="BS93" i="2" s="1"/>
  <c r="BT96" i="2"/>
  <c r="BS96" i="2" s="1"/>
  <c r="BT86" i="2"/>
  <c r="BS86" i="2" s="1"/>
  <c r="BT84" i="2"/>
  <c r="BS84" i="2" s="1"/>
  <c r="BT94" i="2"/>
  <c r="BS94" i="2" s="1"/>
  <c r="BT88" i="2"/>
  <c r="BS88" i="2" s="1"/>
  <c r="BT98" i="2"/>
  <c r="BS98" i="2" s="1"/>
  <c r="BT92" i="2"/>
  <c r="BS92" i="2" s="1"/>
  <c r="BT91" i="2"/>
  <c r="BS91" i="2" s="1"/>
  <c r="BT90" i="2"/>
  <c r="BS90" i="2" s="1"/>
  <c r="BT87" i="2"/>
  <c r="BS87" i="2" s="1"/>
  <c r="BT85" i="2"/>
  <c r="BS85" i="2" s="1"/>
  <c r="BT83" i="2"/>
  <c r="BS83" i="2" s="1"/>
  <c r="BT80" i="2"/>
  <c r="BS80" i="2" s="1"/>
  <c r="BT75" i="2"/>
  <c r="BS75" i="2" s="1"/>
  <c r="BT74" i="2"/>
  <c r="BS74" i="2" s="1"/>
  <c r="BT70" i="2"/>
  <c r="BS70" i="2" s="1"/>
  <c r="BT97" i="2"/>
  <c r="BS97" i="2" s="1"/>
  <c r="BT81" i="2"/>
  <c r="BS81" i="2" s="1"/>
  <c r="BT77" i="2"/>
  <c r="BS77" i="2" s="1"/>
  <c r="BT72" i="2"/>
  <c r="BS72" i="2" s="1"/>
  <c r="BT71" i="2"/>
  <c r="BS71" i="2" s="1"/>
  <c r="BT69" i="2"/>
  <c r="BS69" i="2" s="1"/>
  <c r="BT65" i="2"/>
  <c r="BS65" i="2" s="1"/>
  <c r="BT46" i="2"/>
  <c r="BS46" i="2" s="1"/>
  <c r="BT89" i="2"/>
  <c r="BS89" i="2" s="1"/>
  <c r="BT68" i="2"/>
  <c r="BS68" i="2" s="1"/>
  <c r="BT66" i="2"/>
  <c r="BS66" i="2" s="1"/>
  <c r="BT82" i="2"/>
  <c r="BS82" i="2" s="1"/>
  <c r="BT76" i="2"/>
  <c r="BS76" i="2" s="1"/>
  <c r="BT73" i="2"/>
  <c r="BS73" i="2" s="1"/>
  <c r="BT67" i="2"/>
  <c r="BS67" i="2" s="1"/>
  <c r="BT64" i="2"/>
  <c r="BS64" i="2" s="1"/>
  <c r="BT79" i="2"/>
  <c r="BS79" i="2" s="1"/>
  <c r="BT42" i="2"/>
  <c r="BS42" i="2" s="1"/>
  <c r="BT41" i="2"/>
  <c r="BS41" i="2" s="1"/>
  <c r="BT36" i="2"/>
  <c r="BS36" i="2" s="1"/>
  <c r="BT32" i="2"/>
  <c r="BS32" i="2" s="1"/>
  <c r="BT28" i="2"/>
  <c r="BS28" i="2" s="1"/>
  <c r="BT24" i="2"/>
  <c r="BS24" i="2" s="1"/>
  <c r="BT20" i="2"/>
  <c r="BS20" i="2" s="1"/>
  <c r="BT15" i="2"/>
  <c r="BS15" i="2" s="1"/>
  <c r="BT10" i="2"/>
  <c r="BS10" i="2" s="1"/>
  <c r="BT5" i="2"/>
  <c r="BS5" i="2" s="1"/>
  <c r="BT78" i="2"/>
  <c r="BS78" i="2" s="1"/>
  <c r="BT43" i="2"/>
  <c r="BS43" i="2" s="1"/>
  <c r="BT40" i="2"/>
  <c r="BS40" i="2" s="1"/>
  <c r="BT39" i="2"/>
  <c r="BS39" i="2" s="1"/>
  <c r="BT35" i="2"/>
  <c r="BS35" i="2" s="1"/>
  <c r="BT31" i="2"/>
  <c r="BS31" i="2" s="1"/>
  <c r="BT27" i="2"/>
  <c r="BS27" i="2" s="1"/>
  <c r="BT23" i="2"/>
  <c r="BS23" i="2" s="1"/>
  <c r="BT19" i="2"/>
  <c r="BS19" i="2" s="1"/>
  <c r="BT16" i="2"/>
  <c r="BS16" i="2" s="1"/>
  <c r="BT11" i="2"/>
  <c r="BS11" i="2" s="1"/>
  <c r="BT9" i="2"/>
  <c r="BS9" i="2" s="1"/>
  <c r="BT44" i="2"/>
  <c r="BS44" i="2" s="1"/>
  <c r="BT38" i="2"/>
  <c r="BS38" i="2" s="1"/>
  <c r="BT34" i="2"/>
  <c r="BS34" i="2" s="1"/>
  <c r="BT33" i="2"/>
  <c r="BS33" i="2" s="1"/>
  <c r="BT26" i="2"/>
  <c r="BS26" i="2" s="1"/>
  <c r="BT22" i="2"/>
  <c r="BS22" i="2" s="1"/>
  <c r="BT13" i="2"/>
  <c r="BS13" i="2" s="1"/>
  <c r="BT7" i="2"/>
  <c r="BS7" i="2" s="1"/>
  <c r="BT21" i="2"/>
  <c r="BS21" i="2" s="1"/>
  <c r="BT8" i="2"/>
  <c r="BS8" i="2" s="1"/>
  <c r="BT45" i="2"/>
  <c r="BS45" i="2" s="1"/>
  <c r="BT18" i="2"/>
  <c r="BS18" i="2" s="1"/>
  <c r="BT14" i="2"/>
  <c r="BS14" i="2" s="1"/>
  <c r="BT4" i="2"/>
  <c r="BS4" i="2" s="1"/>
  <c r="BT29" i="2"/>
  <c r="BS29" i="2" s="1"/>
  <c r="BT37" i="2"/>
  <c r="BS37" i="2" s="1"/>
  <c r="BT30" i="2"/>
  <c r="BS30" i="2" s="1"/>
  <c r="BT25" i="2"/>
  <c r="BS25" i="2" s="1"/>
  <c r="BT12" i="2"/>
  <c r="BS12" i="2" s="1"/>
  <c r="BT6" i="2"/>
  <c r="BS6" i="2" s="1"/>
  <c r="AA15" i="2"/>
  <c r="BJ117" i="2"/>
  <c r="BI117" i="2" s="1"/>
  <c r="BJ115" i="2"/>
  <c r="BI115" i="2" s="1"/>
  <c r="BJ118" i="2"/>
  <c r="BI118" i="2" s="1"/>
  <c r="BJ116" i="2"/>
  <c r="BI116" i="2" s="1"/>
  <c r="BJ114" i="2"/>
  <c r="BI114" i="2" s="1"/>
  <c r="BJ109" i="2"/>
  <c r="BI109" i="2" s="1"/>
  <c r="BJ110" i="2"/>
  <c r="BI110" i="2" s="1"/>
  <c r="BJ104" i="2"/>
  <c r="BI104" i="2" s="1"/>
  <c r="BJ108" i="2"/>
  <c r="BI108" i="2" s="1"/>
  <c r="BJ105" i="2"/>
  <c r="BI105" i="2" s="1"/>
  <c r="BJ106" i="2"/>
  <c r="BI106" i="2" s="1"/>
  <c r="BJ103" i="2"/>
  <c r="BI103" i="2" s="1"/>
  <c r="BJ98" i="2"/>
  <c r="BI98" i="2" s="1"/>
  <c r="BJ94" i="2"/>
  <c r="BI94" i="2" s="1"/>
  <c r="BJ107" i="2"/>
  <c r="BI107" i="2" s="1"/>
  <c r="BJ100" i="2"/>
  <c r="BI100" i="2" s="1"/>
  <c r="BJ92" i="2"/>
  <c r="BI92" i="2" s="1"/>
  <c r="BJ99" i="2"/>
  <c r="BI99" i="2" s="1"/>
  <c r="BJ88" i="2"/>
  <c r="BI88" i="2" s="1"/>
  <c r="BJ87" i="2"/>
  <c r="BI87" i="2" s="1"/>
  <c r="BJ85" i="2"/>
  <c r="BI85" i="2" s="1"/>
  <c r="BJ83" i="2"/>
  <c r="BI83" i="2" s="1"/>
  <c r="BJ97" i="2"/>
  <c r="BI97" i="2" s="1"/>
  <c r="BJ95" i="2"/>
  <c r="BI95" i="2" s="1"/>
  <c r="BJ90" i="2"/>
  <c r="BI90" i="2" s="1"/>
  <c r="BJ102" i="2"/>
  <c r="BI102" i="2" s="1"/>
  <c r="BJ96" i="2"/>
  <c r="BI96" i="2" s="1"/>
  <c r="BJ91" i="2"/>
  <c r="BI91" i="2" s="1"/>
  <c r="BJ86" i="2"/>
  <c r="BI86" i="2" s="1"/>
  <c r="BJ84" i="2"/>
  <c r="BI84" i="2" s="1"/>
  <c r="BJ82" i="2"/>
  <c r="BI82" i="2" s="1"/>
  <c r="BJ89" i="2"/>
  <c r="BI89" i="2" s="1"/>
  <c r="BJ78" i="2"/>
  <c r="BI78" i="2" s="1"/>
  <c r="BJ76" i="2"/>
  <c r="BI76" i="2" s="1"/>
  <c r="BJ73" i="2"/>
  <c r="BI73" i="2" s="1"/>
  <c r="BJ68" i="2"/>
  <c r="BI68" i="2" s="1"/>
  <c r="BJ67" i="2"/>
  <c r="BI67" i="2" s="1"/>
  <c r="BJ64" i="2"/>
  <c r="BI64" i="2" s="1"/>
  <c r="BJ101" i="2"/>
  <c r="BI101" i="2" s="1"/>
  <c r="BJ79" i="2"/>
  <c r="BI79" i="2" s="1"/>
  <c r="BJ66" i="2"/>
  <c r="BI66" i="2" s="1"/>
  <c r="BJ93" i="2"/>
  <c r="BI93" i="2" s="1"/>
  <c r="BJ74" i="2"/>
  <c r="BI74" i="2" s="1"/>
  <c r="BJ77" i="2"/>
  <c r="BI77" i="2" s="1"/>
  <c r="BJ69" i="2"/>
  <c r="BI69" i="2" s="1"/>
  <c r="BJ81" i="2"/>
  <c r="BI81" i="2" s="1"/>
  <c r="BJ75" i="2"/>
  <c r="BI75" i="2" s="1"/>
  <c r="BJ65" i="2"/>
  <c r="BI65" i="2" s="1"/>
  <c r="BJ80" i="2"/>
  <c r="BI80" i="2" s="1"/>
  <c r="BJ71" i="2"/>
  <c r="BI71" i="2" s="1"/>
  <c r="BJ44" i="2"/>
  <c r="BI44" i="2" s="1"/>
  <c r="BJ38" i="2"/>
  <c r="BI38" i="2" s="1"/>
  <c r="BJ34" i="2"/>
  <c r="BI34" i="2" s="1"/>
  <c r="BJ30" i="2"/>
  <c r="BI30" i="2" s="1"/>
  <c r="BJ26" i="2"/>
  <c r="BI26" i="2" s="1"/>
  <c r="BJ22" i="2"/>
  <c r="BI22" i="2" s="1"/>
  <c r="BJ13" i="2"/>
  <c r="BI13" i="2" s="1"/>
  <c r="BJ6" i="2"/>
  <c r="BI6" i="2" s="1"/>
  <c r="BJ7" i="2"/>
  <c r="BI7" i="2" s="1"/>
  <c r="BJ72" i="2"/>
  <c r="BI72" i="2" s="1"/>
  <c r="BJ45" i="2"/>
  <c r="BI45" i="2" s="1"/>
  <c r="BJ37" i="2"/>
  <c r="BI37" i="2" s="1"/>
  <c r="BJ33" i="2"/>
  <c r="BI33" i="2" s="1"/>
  <c r="BJ29" i="2"/>
  <c r="BI29" i="2" s="1"/>
  <c r="BJ25" i="2"/>
  <c r="BI25" i="2" s="1"/>
  <c r="BJ21" i="2"/>
  <c r="BI21" i="2" s="1"/>
  <c r="BJ18" i="2"/>
  <c r="BI18" i="2" s="1"/>
  <c r="BJ14" i="2"/>
  <c r="BI14" i="2" s="1"/>
  <c r="BJ12" i="2"/>
  <c r="BI12" i="2" s="1"/>
  <c r="BJ8" i="2"/>
  <c r="BI8" i="2" s="1"/>
  <c r="BJ70" i="2"/>
  <c r="BI70" i="2" s="1"/>
  <c r="BJ42" i="2"/>
  <c r="BI42" i="2" s="1"/>
  <c r="BJ41" i="2"/>
  <c r="BI41" i="2" s="1"/>
  <c r="BJ36" i="2"/>
  <c r="BI36" i="2" s="1"/>
  <c r="BJ32" i="2"/>
  <c r="BI32" i="2" s="1"/>
  <c r="BJ46" i="2"/>
  <c r="BI46" i="2" s="1"/>
  <c r="BJ43" i="2"/>
  <c r="BI43" i="2" s="1"/>
  <c r="BJ40" i="2"/>
  <c r="BI40" i="2" s="1"/>
  <c r="BJ27" i="2"/>
  <c r="BI27" i="2" s="1"/>
  <c r="BJ23" i="2"/>
  <c r="BI23" i="2" s="1"/>
  <c r="BJ5" i="2"/>
  <c r="BI5" i="2" s="1"/>
  <c r="BJ4" i="2"/>
  <c r="BI4" i="2" s="1"/>
  <c r="BJ39" i="2"/>
  <c r="BI39" i="2" s="1"/>
  <c r="BJ28" i="2"/>
  <c r="BI28" i="2" s="1"/>
  <c r="BJ24" i="2"/>
  <c r="BI24" i="2" s="1"/>
  <c r="BJ20" i="2"/>
  <c r="BI20" i="2" s="1"/>
  <c r="BJ19" i="2"/>
  <c r="BI19" i="2" s="1"/>
  <c r="BJ16" i="2"/>
  <c r="BI16" i="2" s="1"/>
  <c r="BJ9" i="2"/>
  <c r="BI9" i="2" s="1"/>
  <c r="BJ11" i="2"/>
  <c r="BI11" i="2" s="1"/>
  <c r="BJ31" i="2"/>
  <c r="BI31" i="2" s="1"/>
  <c r="BJ15" i="2"/>
  <c r="BI15" i="2" s="1"/>
  <c r="BJ10" i="2"/>
  <c r="BI10" i="2" s="1"/>
  <c r="BJ35" i="2"/>
  <c r="BI35" i="2" s="1"/>
  <c r="BD118" i="2"/>
  <c r="BC118" i="2" s="1"/>
  <c r="BD116" i="2"/>
  <c r="BC116" i="2" s="1"/>
  <c r="BD114" i="2"/>
  <c r="BC114" i="2" s="1"/>
  <c r="BD117" i="2"/>
  <c r="BC117" i="2" s="1"/>
  <c r="BD115" i="2"/>
  <c r="BC115" i="2" s="1"/>
  <c r="BD107" i="2"/>
  <c r="BC107" i="2" s="1"/>
  <c r="BD108" i="2"/>
  <c r="BC108" i="2" s="1"/>
  <c r="BD106" i="2"/>
  <c r="BC106" i="2" s="1"/>
  <c r="BD102" i="2"/>
  <c r="BC102" i="2" s="1"/>
  <c r="BD110" i="2"/>
  <c r="BC110" i="2" s="1"/>
  <c r="BD103" i="2"/>
  <c r="BC103" i="2" s="1"/>
  <c r="BD100" i="2"/>
  <c r="BC100" i="2" s="1"/>
  <c r="BD95" i="2"/>
  <c r="BC95" i="2" s="1"/>
  <c r="BD105" i="2"/>
  <c r="BC105" i="2" s="1"/>
  <c r="BD104" i="2"/>
  <c r="BC104" i="2" s="1"/>
  <c r="BD101" i="2"/>
  <c r="BC101" i="2" s="1"/>
  <c r="BD109" i="2"/>
  <c r="BC109" i="2" s="1"/>
  <c r="BD99" i="2"/>
  <c r="BC99" i="2" s="1"/>
  <c r="BD93" i="2"/>
  <c r="BC93" i="2" s="1"/>
  <c r="BD97" i="2"/>
  <c r="BC97" i="2" s="1"/>
  <c r="BD86" i="2"/>
  <c r="BC86" i="2" s="1"/>
  <c r="BD84" i="2"/>
  <c r="BC84" i="2" s="1"/>
  <c r="BD96" i="2"/>
  <c r="BC96" i="2" s="1"/>
  <c r="BD88" i="2"/>
  <c r="BC88" i="2" s="1"/>
  <c r="BD94" i="2"/>
  <c r="BC94" i="2" s="1"/>
  <c r="BD92" i="2"/>
  <c r="BC92" i="2" s="1"/>
  <c r="BD91" i="2"/>
  <c r="BC91" i="2" s="1"/>
  <c r="BD90" i="2"/>
  <c r="BC90" i="2" s="1"/>
  <c r="BD87" i="2"/>
  <c r="BC87" i="2" s="1"/>
  <c r="BD85" i="2"/>
  <c r="BC85" i="2" s="1"/>
  <c r="BD83" i="2"/>
  <c r="BC83" i="2" s="1"/>
  <c r="BD80" i="2"/>
  <c r="BC80" i="2" s="1"/>
  <c r="BD75" i="2"/>
  <c r="BC75" i="2" s="1"/>
  <c r="BD74" i="2"/>
  <c r="BC74" i="2" s="1"/>
  <c r="BD70" i="2"/>
  <c r="BC70" i="2" s="1"/>
  <c r="BD98" i="2"/>
  <c r="BC98" i="2" s="1"/>
  <c r="BD89" i="2"/>
  <c r="BC89" i="2" s="1"/>
  <c r="BD81" i="2"/>
  <c r="BC81" i="2" s="1"/>
  <c r="BD77" i="2"/>
  <c r="BC77" i="2" s="1"/>
  <c r="BD72" i="2"/>
  <c r="BC72" i="2" s="1"/>
  <c r="BD71" i="2"/>
  <c r="BC71" i="2" s="1"/>
  <c r="BD69" i="2"/>
  <c r="BC69" i="2" s="1"/>
  <c r="BD65" i="2"/>
  <c r="BC65" i="2" s="1"/>
  <c r="BD46" i="2"/>
  <c r="BC46" i="2" s="1"/>
  <c r="BD82" i="2"/>
  <c r="BC82" i="2" s="1"/>
  <c r="BD68" i="2"/>
  <c r="BC68" i="2" s="1"/>
  <c r="BD66" i="2"/>
  <c r="BC66" i="2" s="1"/>
  <c r="BD76" i="2"/>
  <c r="BC76" i="2" s="1"/>
  <c r="BD73" i="2"/>
  <c r="BC73" i="2" s="1"/>
  <c r="BD67" i="2"/>
  <c r="BC67" i="2" s="1"/>
  <c r="BD64" i="2"/>
  <c r="BC64" i="2" s="1"/>
  <c r="BD42" i="2"/>
  <c r="BC42" i="2" s="1"/>
  <c r="BD41" i="2"/>
  <c r="BC41" i="2" s="1"/>
  <c r="BD36" i="2"/>
  <c r="BC36" i="2" s="1"/>
  <c r="BD32" i="2"/>
  <c r="BC32" i="2" s="1"/>
  <c r="BD28" i="2"/>
  <c r="BC28" i="2" s="1"/>
  <c r="BD24" i="2"/>
  <c r="BC24" i="2" s="1"/>
  <c r="BD20" i="2"/>
  <c r="BC20" i="2" s="1"/>
  <c r="BD15" i="2"/>
  <c r="BC15" i="2" s="1"/>
  <c r="BD10" i="2"/>
  <c r="BC10" i="2" s="1"/>
  <c r="BD5" i="2"/>
  <c r="BC5" i="2" s="1"/>
  <c r="BD43" i="2"/>
  <c r="BC43" i="2" s="1"/>
  <c r="BD40" i="2"/>
  <c r="BC40" i="2" s="1"/>
  <c r="BD39" i="2"/>
  <c r="BC39" i="2" s="1"/>
  <c r="BD35" i="2"/>
  <c r="BC35" i="2" s="1"/>
  <c r="BD31" i="2"/>
  <c r="BC31" i="2" s="1"/>
  <c r="BD27" i="2"/>
  <c r="BC27" i="2" s="1"/>
  <c r="BD23" i="2"/>
  <c r="BC23" i="2" s="1"/>
  <c r="BD19" i="2"/>
  <c r="BC19" i="2" s="1"/>
  <c r="BD16" i="2"/>
  <c r="BC16" i="2" s="1"/>
  <c r="BD11" i="2"/>
  <c r="BC11" i="2" s="1"/>
  <c r="BD9" i="2"/>
  <c r="BC9" i="2" s="1"/>
  <c r="BD79" i="2"/>
  <c r="BC79" i="2" s="1"/>
  <c r="BD44" i="2"/>
  <c r="BC44" i="2" s="1"/>
  <c r="BD38" i="2"/>
  <c r="BC38" i="2" s="1"/>
  <c r="BD34" i="2"/>
  <c r="BC34" i="2" s="1"/>
  <c r="BD33" i="2"/>
  <c r="BC33" i="2" s="1"/>
  <c r="BD26" i="2"/>
  <c r="BC26" i="2" s="1"/>
  <c r="BD22" i="2"/>
  <c r="BC22" i="2" s="1"/>
  <c r="BD13" i="2"/>
  <c r="BC13" i="2" s="1"/>
  <c r="BD7" i="2"/>
  <c r="BC7" i="2" s="1"/>
  <c r="BD4" i="2"/>
  <c r="BC4" i="2" s="1"/>
  <c r="BD29" i="2"/>
  <c r="BC29" i="2" s="1"/>
  <c r="BD21" i="2"/>
  <c r="BC21" i="2" s="1"/>
  <c r="BD8" i="2"/>
  <c r="BC8" i="2" s="1"/>
  <c r="BD45" i="2"/>
  <c r="BC45" i="2" s="1"/>
  <c r="BD18" i="2"/>
  <c r="BC18" i="2" s="1"/>
  <c r="BD14" i="2"/>
  <c r="BC14" i="2" s="1"/>
  <c r="BD37" i="2"/>
  <c r="BC37" i="2" s="1"/>
  <c r="BD30" i="2"/>
  <c r="BC30" i="2" s="1"/>
  <c r="BD78" i="2"/>
  <c r="BC78" i="2" s="1"/>
  <c r="BD25" i="2"/>
  <c r="BC25" i="2" s="1"/>
  <c r="BD12" i="2"/>
  <c r="BC12" i="2" s="1"/>
  <c r="BD6" i="2"/>
  <c r="BC6" i="2" s="1"/>
  <c r="R66" i="2"/>
  <c r="BB117" i="2"/>
  <c r="BA117" i="2" s="1"/>
  <c r="BB115" i="2"/>
  <c r="BA115" i="2" s="1"/>
  <c r="BB118" i="2"/>
  <c r="BA118" i="2" s="1"/>
  <c r="BB116" i="2"/>
  <c r="BA116" i="2" s="1"/>
  <c r="BB114" i="2"/>
  <c r="BA114" i="2" s="1"/>
  <c r="BB109" i="2"/>
  <c r="BA109" i="2" s="1"/>
  <c r="BB110" i="2"/>
  <c r="BA110" i="2" s="1"/>
  <c r="BB104" i="2"/>
  <c r="BA104" i="2" s="1"/>
  <c r="BB108" i="2"/>
  <c r="BA108" i="2" s="1"/>
  <c r="BB105" i="2"/>
  <c r="BA105" i="2" s="1"/>
  <c r="BB106" i="2"/>
  <c r="BA106" i="2" s="1"/>
  <c r="BB98" i="2"/>
  <c r="BA98" i="2" s="1"/>
  <c r="BB94" i="2"/>
  <c r="BA94" i="2" s="1"/>
  <c r="BB102" i="2"/>
  <c r="BA102" i="2" s="1"/>
  <c r="BB103" i="2"/>
  <c r="BA103" i="2" s="1"/>
  <c r="BB96" i="2"/>
  <c r="BA96" i="2" s="1"/>
  <c r="BB92" i="2"/>
  <c r="BA92" i="2" s="1"/>
  <c r="BB101" i="2"/>
  <c r="BA101" i="2" s="1"/>
  <c r="BB99" i="2"/>
  <c r="BA99" i="2" s="1"/>
  <c r="BB91" i="2"/>
  <c r="BA91" i="2" s="1"/>
  <c r="BB87" i="2"/>
  <c r="BA87" i="2" s="1"/>
  <c r="BB85" i="2"/>
  <c r="BA85" i="2" s="1"/>
  <c r="BB83" i="2"/>
  <c r="BA83" i="2" s="1"/>
  <c r="BB97" i="2"/>
  <c r="BA97" i="2" s="1"/>
  <c r="BB95" i="2"/>
  <c r="BA95" i="2" s="1"/>
  <c r="BB93" i="2"/>
  <c r="BA93" i="2" s="1"/>
  <c r="BB89" i="2"/>
  <c r="BA89" i="2" s="1"/>
  <c r="BB107" i="2"/>
  <c r="BA107" i="2" s="1"/>
  <c r="BB88" i="2"/>
  <c r="BA88" i="2" s="1"/>
  <c r="BB86" i="2"/>
  <c r="BA86" i="2" s="1"/>
  <c r="BB84" i="2"/>
  <c r="BA84" i="2" s="1"/>
  <c r="BB90" i="2"/>
  <c r="BA90" i="2" s="1"/>
  <c r="BB78" i="2"/>
  <c r="BA78" i="2" s="1"/>
  <c r="BB76" i="2"/>
  <c r="BA76" i="2" s="1"/>
  <c r="BB73" i="2"/>
  <c r="BA73" i="2" s="1"/>
  <c r="BB68" i="2"/>
  <c r="BA68" i="2" s="1"/>
  <c r="BB67" i="2"/>
  <c r="BA67" i="2" s="1"/>
  <c r="BB64" i="2"/>
  <c r="BA64" i="2" s="1"/>
  <c r="BB82" i="2"/>
  <c r="BA82" i="2" s="1"/>
  <c r="BB79" i="2"/>
  <c r="BA79" i="2" s="1"/>
  <c r="BB66" i="2"/>
  <c r="BA66" i="2" s="1"/>
  <c r="BB74" i="2"/>
  <c r="BA74" i="2" s="1"/>
  <c r="BB77" i="2"/>
  <c r="BA77" i="2" s="1"/>
  <c r="BB69" i="2"/>
  <c r="BA69" i="2" s="1"/>
  <c r="BB81" i="2"/>
  <c r="BA81" i="2" s="1"/>
  <c r="BB75" i="2"/>
  <c r="BA75" i="2" s="1"/>
  <c r="BB65" i="2"/>
  <c r="BA65" i="2" s="1"/>
  <c r="BB44" i="2"/>
  <c r="BA44" i="2" s="1"/>
  <c r="BB38" i="2"/>
  <c r="BA38" i="2" s="1"/>
  <c r="BB34" i="2"/>
  <c r="BA34" i="2" s="1"/>
  <c r="BB30" i="2"/>
  <c r="BA30" i="2" s="1"/>
  <c r="BB26" i="2"/>
  <c r="BA26" i="2" s="1"/>
  <c r="BB22" i="2"/>
  <c r="BA22" i="2" s="1"/>
  <c r="BB13" i="2"/>
  <c r="BA13" i="2" s="1"/>
  <c r="BB6" i="2"/>
  <c r="BA6" i="2" s="1"/>
  <c r="BB8" i="2"/>
  <c r="BA8" i="2" s="1"/>
  <c r="BB7" i="2"/>
  <c r="BA7" i="2" s="1"/>
  <c r="BB80" i="2"/>
  <c r="BA80" i="2" s="1"/>
  <c r="BB71" i="2"/>
  <c r="BA71" i="2" s="1"/>
  <c r="BB46" i="2"/>
  <c r="BA46" i="2" s="1"/>
  <c r="BB45" i="2"/>
  <c r="BA45" i="2" s="1"/>
  <c r="BB37" i="2"/>
  <c r="BA37" i="2" s="1"/>
  <c r="BB33" i="2"/>
  <c r="BA33" i="2" s="1"/>
  <c r="BB29" i="2"/>
  <c r="BA29" i="2" s="1"/>
  <c r="BB25" i="2"/>
  <c r="BA25" i="2" s="1"/>
  <c r="BB21" i="2"/>
  <c r="BA21" i="2" s="1"/>
  <c r="BB18" i="2"/>
  <c r="BA18" i="2" s="1"/>
  <c r="BB14" i="2"/>
  <c r="BA14" i="2" s="1"/>
  <c r="BB12" i="2"/>
  <c r="BA12" i="2" s="1"/>
  <c r="BB100" i="2"/>
  <c r="BA100" i="2" s="1"/>
  <c r="BB72" i="2"/>
  <c r="BA72" i="2" s="1"/>
  <c r="BB42" i="2"/>
  <c r="BA42" i="2" s="1"/>
  <c r="BB41" i="2"/>
  <c r="BA41" i="2" s="1"/>
  <c r="BB36" i="2"/>
  <c r="BA36" i="2" s="1"/>
  <c r="BB32" i="2"/>
  <c r="BA32" i="2" s="1"/>
  <c r="BB27" i="2"/>
  <c r="BA27" i="2" s="1"/>
  <c r="BB23" i="2"/>
  <c r="BA23" i="2" s="1"/>
  <c r="BB9" i="2"/>
  <c r="BA9" i="2" s="1"/>
  <c r="BB5" i="2"/>
  <c r="BA5" i="2" s="1"/>
  <c r="BB11" i="2"/>
  <c r="BA11" i="2" s="1"/>
  <c r="BB35" i="2"/>
  <c r="BA35" i="2" s="1"/>
  <c r="BB28" i="2"/>
  <c r="BA28" i="2" s="1"/>
  <c r="BB24" i="2"/>
  <c r="BA24" i="2" s="1"/>
  <c r="BB20" i="2"/>
  <c r="BA20" i="2" s="1"/>
  <c r="BB19" i="2"/>
  <c r="BA19" i="2" s="1"/>
  <c r="BB16" i="2"/>
  <c r="BA16" i="2" s="1"/>
  <c r="BB39" i="2"/>
  <c r="BA39" i="2" s="1"/>
  <c r="BB70" i="2"/>
  <c r="BA70" i="2" s="1"/>
  <c r="BB43" i="2"/>
  <c r="BA43" i="2" s="1"/>
  <c r="BB40" i="2"/>
  <c r="BA40" i="2" s="1"/>
  <c r="BB31" i="2"/>
  <c r="BA31" i="2" s="1"/>
  <c r="BB15" i="2"/>
  <c r="BA15" i="2" s="1"/>
  <c r="BB10" i="2"/>
  <c r="BA10" i="2" s="1"/>
  <c r="BB4" i="2"/>
  <c r="BA4" i="2" s="1"/>
  <c r="AM115" i="1"/>
  <c r="AM111" i="1"/>
  <c r="AM107" i="1"/>
  <c r="AM103" i="1"/>
  <c r="AM99" i="1"/>
  <c r="AJ85" i="1"/>
  <c r="AJ74" i="1"/>
  <c r="AJ64" i="1"/>
  <c r="AJ60" i="1"/>
  <c r="AJ58" i="1"/>
  <c r="AJ54" i="1"/>
  <c r="AJ51" i="1"/>
  <c r="AJ49" i="1"/>
  <c r="AJ41" i="1"/>
  <c r="AJ38" i="1"/>
  <c r="AM114" i="1"/>
  <c r="AM110" i="1"/>
  <c r="AM106" i="1"/>
  <c r="AM102" i="1"/>
  <c r="AM98" i="1"/>
  <c r="AJ95" i="1"/>
  <c r="AJ94" i="1"/>
  <c r="AJ91" i="1"/>
  <c r="AJ81" i="1"/>
  <c r="AJ78" i="1"/>
  <c r="AJ71" i="1"/>
  <c r="AJ70" i="1"/>
  <c r="AM113" i="1"/>
  <c r="AM109" i="1"/>
  <c r="AM105" i="1"/>
  <c r="AM101" i="1"/>
  <c r="AJ96" i="1"/>
  <c r="AJ93" i="1"/>
  <c r="AJ90" i="1"/>
  <c r="AJ89" i="1"/>
  <c r="AJ88" i="1"/>
  <c r="AJ87" i="1"/>
  <c r="AJ84" i="1"/>
  <c r="AJ82" i="1"/>
  <c r="AJ80" i="1"/>
  <c r="AM104" i="1"/>
  <c r="AM97" i="1"/>
  <c r="AJ92" i="1"/>
  <c r="AJ86" i="1"/>
  <c r="AJ83" i="1"/>
  <c r="AJ79" i="1"/>
  <c r="AJ77" i="1"/>
  <c r="AJ76" i="1"/>
  <c r="AJ75" i="1"/>
  <c r="AJ73" i="1"/>
  <c r="AJ62" i="1"/>
  <c r="AJ61" i="1"/>
  <c r="AJ50" i="1"/>
  <c r="AJ47" i="1"/>
  <c r="AJ44" i="1"/>
  <c r="AJ39" i="1"/>
  <c r="AJ29" i="1"/>
  <c r="AJ28" i="1"/>
  <c r="AJ27" i="1"/>
  <c r="AJ21" i="1"/>
  <c r="AJ16" i="1"/>
  <c r="AJ15" i="1"/>
  <c r="AJ6" i="1"/>
  <c r="AJ33" i="1"/>
  <c r="AJ30" i="1"/>
  <c r="AJ26" i="1"/>
  <c r="AJ22" i="1"/>
  <c r="AJ17" i="1"/>
  <c r="AJ9" i="1"/>
  <c r="AM100" i="1"/>
  <c r="AJ66" i="1"/>
  <c r="AJ55" i="1"/>
  <c r="AJ53" i="1"/>
  <c r="AJ48" i="1"/>
  <c r="AJ40" i="1"/>
  <c r="AJ19" i="1"/>
  <c r="AJ14" i="1"/>
  <c r="AJ12" i="1"/>
  <c r="AJ7" i="1"/>
  <c r="AM108" i="1"/>
  <c r="AJ72" i="1"/>
  <c r="AJ69" i="1"/>
  <c r="AJ67" i="1"/>
  <c r="AJ65" i="1"/>
  <c r="AJ63" i="1"/>
  <c r="AJ59" i="1"/>
  <c r="AJ37" i="1"/>
  <c r="AJ52" i="1"/>
  <c r="AJ42" i="1"/>
  <c r="AJ25" i="1"/>
  <c r="AJ24" i="1"/>
  <c r="AM112" i="1"/>
  <c r="AJ57" i="1"/>
  <c r="AJ56" i="1"/>
  <c r="AJ46" i="1"/>
  <c r="AJ45" i="1"/>
  <c r="AJ43" i="1"/>
  <c r="AJ36" i="1"/>
  <c r="AJ31" i="1"/>
  <c r="AJ23" i="1"/>
  <c r="AJ13" i="1"/>
  <c r="AJ11" i="1"/>
  <c r="AJ10" i="1"/>
  <c r="AJ8" i="1"/>
  <c r="AJ68" i="1"/>
  <c r="AJ35" i="1"/>
  <c r="AJ34" i="1"/>
  <c r="AJ32" i="1"/>
  <c r="AJ20" i="1"/>
  <c r="AJ18" i="1"/>
  <c r="AD6" i="1"/>
  <c r="AB40" i="1" l="1"/>
  <c r="K7" i="1" s="1"/>
  <c r="AC26" i="2"/>
  <c r="AC31" i="2"/>
  <c r="AC27" i="2"/>
  <c r="AC33" i="2"/>
  <c r="AC30" i="2"/>
  <c r="M103" i="1"/>
  <c r="AA85" i="2"/>
  <c r="AC25" i="2"/>
  <c r="AC35" i="2"/>
  <c r="O112" i="1"/>
  <c r="R112" i="1" s="1"/>
  <c r="R114" i="1"/>
  <c r="AC22" i="2"/>
  <c r="O103" i="2"/>
  <c r="AC23" i="2"/>
  <c r="AB15" i="2"/>
  <c r="AC10" i="2"/>
  <c r="AE6" i="2"/>
  <c r="AF6" i="2" s="1"/>
  <c r="AF77" i="2"/>
  <c r="AA11" i="2"/>
  <c r="AB11" i="2" s="1"/>
  <c r="AH3" i="1"/>
  <c r="AD8" i="1"/>
  <c r="AE6" i="1" s="1"/>
  <c r="AE8" i="1" s="1"/>
  <c r="AE9" i="1" s="1"/>
  <c r="O115" i="1" l="1"/>
  <c r="R115" i="1" s="1"/>
  <c r="M115" i="1"/>
  <c r="AB85" i="2"/>
  <c r="K6" i="2" s="1"/>
  <c r="AA86" i="2" s="1"/>
  <c r="AB86" i="2" s="1"/>
  <c r="AD30" i="2"/>
  <c r="AE30" i="2" s="1"/>
  <c r="K76" i="2"/>
  <c r="K98" i="2" s="1"/>
  <c r="O107" i="1"/>
  <c r="O108" i="1"/>
  <c r="R108" i="1" s="1"/>
  <c r="O105" i="1"/>
  <c r="O111" i="1"/>
  <c r="O106" i="1"/>
  <c r="O110" i="1"/>
  <c r="O109" i="1"/>
  <c r="O104" i="1"/>
  <c r="R104" i="1" s="1"/>
  <c r="O103" i="1"/>
  <c r="R113" i="1"/>
  <c r="AD22" i="2"/>
  <c r="AE22" i="2" s="1"/>
  <c r="AF22" i="2" s="1"/>
  <c r="AD40" i="2"/>
  <c r="AD41" i="2"/>
  <c r="AD43" i="2"/>
  <c r="AD23" i="2"/>
  <c r="AE23" i="2" s="1"/>
  <c r="AH4" i="1"/>
  <c r="AD47" i="1" s="1"/>
  <c r="AD50" i="1"/>
  <c r="AD51" i="1" s="1"/>
  <c r="AA13" i="2"/>
  <c r="K10" i="2" s="1"/>
  <c r="AD37" i="2"/>
  <c r="AD33" i="2"/>
  <c r="AD28" i="2"/>
  <c r="AD35" i="2"/>
  <c r="AD39" i="2"/>
  <c r="AD36" i="2"/>
  <c r="AD29" i="2"/>
  <c r="AD32" i="2"/>
  <c r="AD26" i="2"/>
  <c r="AD25" i="2"/>
  <c r="AD20" i="2"/>
  <c r="AD34" i="2"/>
  <c r="AD31" i="2"/>
  <c r="AD21" i="2"/>
  <c r="AD24" i="2"/>
  <c r="AD38" i="2"/>
  <c r="AD27" i="2"/>
  <c r="Q103" i="2"/>
  <c r="AF15" i="2"/>
  <c r="AG12" i="1"/>
  <c r="AH12" i="1" s="1"/>
  <c r="AD9" i="1"/>
  <c r="AC10" i="1"/>
  <c r="R107" i="1" l="1"/>
  <c r="R105" i="1"/>
  <c r="R106" i="1"/>
  <c r="R111" i="1"/>
  <c r="R109" i="1"/>
  <c r="R110" i="1"/>
  <c r="M41" i="1"/>
  <c r="R103" i="1"/>
  <c r="K90" i="2"/>
  <c r="AB107" i="2" s="1"/>
  <c r="M30" i="2" s="1"/>
  <c r="K89" i="2"/>
  <c r="AB106" i="2" s="1"/>
  <c r="M29" i="2" s="1"/>
  <c r="K84" i="2"/>
  <c r="AB101" i="2" s="1"/>
  <c r="M24" i="2" s="1"/>
  <c r="K83" i="2"/>
  <c r="AB100" i="2" s="1"/>
  <c r="M23" i="2" s="1"/>
  <c r="K88" i="2"/>
  <c r="AB105" i="2" s="1"/>
  <c r="M28" i="2" s="1"/>
  <c r="K82" i="2"/>
  <c r="AB99" i="2" s="1"/>
  <c r="M22" i="2" s="1"/>
  <c r="K87" i="2"/>
  <c r="AB104" i="2" s="1"/>
  <c r="M27" i="2" s="1"/>
  <c r="K92" i="2"/>
  <c r="AB109" i="2" s="1"/>
  <c r="M32" i="2" s="1"/>
  <c r="K100" i="2"/>
  <c r="AB117" i="2" s="1"/>
  <c r="M40" i="2" s="1"/>
  <c r="K79" i="2"/>
  <c r="AB96" i="2" s="1"/>
  <c r="M19" i="2" s="1"/>
  <c r="K81" i="2"/>
  <c r="AB98" i="2" s="1"/>
  <c r="M21" i="2" s="1"/>
  <c r="K80" i="2"/>
  <c r="AB97" i="2" s="1"/>
  <c r="M20" i="2" s="1"/>
  <c r="K95" i="2"/>
  <c r="AB112" i="2" s="1"/>
  <c r="M35" i="2" s="1"/>
  <c r="K99" i="2"/>
  <c r="AB116" i="2" s="1"/>
  <c r="M39" i="2" s="1"/>
  <c r="K96" i="2"/>
  <c r="AB113" i="2" s="1"/>
  <c r="M36" i="2" s="1"/>
  <c r="K94" i="2"/>
  <c r="AB111" i="2" s="1"/>
  <c r="M34" i="2" s="1"/>
  <c r="K85" i="2"/>
  <c r="AB102" i="2" s="1"/>
  <c r="M25" i="2" s="1"/>
  <c r="K86" i="2"/>
  <c r="AB103" i="2" s="1"/>
  <c r="M26" i="2" s="1"/>
  <c r="K78" i="2"/>
  <c r="AB95" i="2" s="1"/>
  <c r="M18" i="2" s="1"/>
  <c r="K91" i="2"/>
  <c r="AB108" i="2" s="1"/>
  <c r="M31" i="2" s="1"/>
  <c r="K97" i="2"/>
  <c r="AB114" i="2" s="1"/>
  <c r="M37" i="2" s="1"/>
  <c r="K93" i="2"/>
  <c r="AB110" i="2" s="1"/>
  <c r="M33" i="2" s="1"/>
  <c r="AB115" i="2"/>
  <c r="M38" i="2" s="1"/>
  <c r="AE41" i="2"/>
  <c r="AE40" i="2"/>
  <c r="AE43" i="2"/>
  <c r="AH5" i="1"/>
  <c r="K11" i="1" s="1"/>
  <c r="AA16" i="2"/>
  <c r="K12" i="2" s="1"/>
  <c r="AC47" i="1"/>
  <c r="AF23" i="2"/>
  <c r="AE38" i="2"/>
  <c r="AE39" i="2"/>
  <c r="R103" i="2"/>
  <c r="AE24" i="2"/>
  <c r="AE20" i="2"/>
  <c r="AE32" i="2"/>
  <c r="AE35" i="2"/>
  <c r="AE34" i="2"/>
  <c r="AE37" i="2"/>
  <c r="AE21" i="2"/>
  <c r="AE29" i="2"/>
  <c r="AE28" i="2"/>
  <c r="AE26" i="2"/>
  <c r="AE27" i="2"/>
  <c r="AE31" i="2"/>
  <c r="AE25" i="2"/>
  <c r="AE36" i="2"/>
  <c r="AE33" i="2"/>
  <c r="AC11" i="1"/>
  <c r="K9" i="1" s="1"/>
  <c r="O41" i="1" l="1"/>
  <c r="K103" i="2"/>
  <c r="AB119" i="2" s="1"/>
  <c r="AF30" i="2"/>
  <c r="AF43" i="2"/>
  <c r="AF40" i="2"/>
  <c r="AF41" i="2"/>
  <c r="AF33" i="2"/>
  <c r="AF37" i="2"/>
  <c r="AF25" i="2"/>
  <c r="AF28" i="2"/>
  <c r="AF36" i="2"/>
  <c r="AF31" i="2"/>
  <c r="AF34" i="2"/>
  <c r="AF32" i="2"/>
  <c r="AF24" i="2"/>
  <c r="AF39" i="2"/>
  <c r="AF27" i="2"/>
  <c r="AF26" i="2"/>
  <c r="AF29" i="2"/>
  <c r="AF21" i="2"/>
  <c r="AF35" i="2"/>
  <c r="AF20" i="2"/>
  <c r="AF38" i="2"/>
  <c r="K8" i="2" l="1"/>
  <c r="H103" i="2" s="1"/>
  <c r="M43" i="2"/>
  <c r="C66" i="2" s="1"/>
  <c r="AF73" i="2"/>
  <c r="AG38" i="2" l="1"/>
  <c r="AH32" i="2"/>
  <c r="AH31" i="2"/>
  <c r="AG41" i="2"/>
  <c r="AG20" i="2"/>
  <c r="AH24" i="2"/>
  <c r="AH35" i="2"/>
  <c r="AH29" i="2"/>
  <c r="AG29" i="2"/>
  <c r="AG36" i="2"/>
  <c r="AG24" i="2"/>
  <c r="AG21" i="2"/>
  <c r="AH34" i="2"/>
  <c r="AH20" i="2"/>
  <c r="AH23" i="2"/>
  <c r="AG32" i="2"/>
  <c r="AG37" i="2"/>
  <c r="AG22" i="2"/>
  <c r="AH30" i="2"/>
  <c r="AG39" i="2"/>
  <c r="AG33" i="2"/>
  <c r="AG30" i="2"/>
  <c r="AH21" i="2"/>
  <c r="AH25" i="2"/>
  <c r="AH26" i="2"/>
  <c r="AG25" i="2"/>
  <c r="AG40" i="2"/>
  <c r="AG26" i="2"/>
  <c r="AG43" i="2"/>
  <c r="AH33" i="2"/>
  <c r="AH28" i="2"/>
  <c r="AH39" i="2"/>
  <c r="AH43" i="2"/>
  <c r="AG35" i="2"/>
  <c r="AG31" i="2"/>
  <c r="AG27" i="2"/>
  <c r="AH40" i="2"/>
  <c r="AH36" i="2"/>
  <c r="AH27" i="2"/>
  <c r="AG23" i="2"/>
  <c r="AH37" i="2"/>
  <c r="AH38" i="2"/>
  <c r="AH41" i="2"/>
  <c r="AH22" i="2"/>
  <c r="AG34" i="2"/>
  <c r="AG28" i="2"/>
  <c r="AI23" i="2" l="1"/>
  <c r="AA94" i="2" s="1"/>
  <c r="K21" i="2" s="1"/>
  <c r="AI38" i="2"/>
  <c r="M96" i="2" s="1"/>
  <c r="AC113" i="2" s="1"/>
  <c r="O36" i="2" s="1"/>
  <c r="AI35" i="2"/>
  <c r="AA106" i="2" s="1"/>
  <c r="K33" i="2" s="1"/>
  <c r="AI43" i="2"/>
  <c r="AI20" i="2"/>
  <c r="AA91" i="2" s="1"/>
  <c r="K18" i="2" s="1"/>
  <c r="AI32" i="2"/>
  <c r="M90" i="2" s="1"/>
  <c r="AC107" i="2" s="1"/>
  <c r="O30" i="2" s="1"/>
  <c r="AI27" i="2"/>
  <c r="AA98" i="2" s="1"/>
  <c r="K25" i="2" s="1"/>
  <c r="AI33" i="2"/>
  <c r="AA104" i="2" s="1"/>
  <c r="K31" i="2" s="1"/>
  <c r="AI31" i="2"/>
  <c r="AA102" i="2" s="1"/>
  <c r="K29" i="2" s="1"/>
  <c r="AI24" i="2"/>
  <c r="AA95" i="2" s="1"/>
  <c r="K22" i="2" s="1"/>
  <c r="AI41" i="2"/>
  <c r="AA112" i="2" s="1"/>
  <c r="K39" i="2" s="1"/>
  <c r="AI22" i="2"/>
  <c r="AA93" i="2" s="1"/>
  <c r="K20" i="2" s="1"/>
  <c r="AI39" i="2"/>
  <c r="AA110" i="2" s="1"/>
  <c r="K37" i="2" s="1"/>
  <c r="AI21" i="2"/>
  <c r="AA92" i="2" s="1"/>
  <c r="K19" i="2" s="1"/>
  <c r="AI37" i="2"/>
  <c r="AA108" i="2" s="1"/>
  <c r="K35" i="2" s="1"/>
  <c r="AI36" i="2"/>
  <c r="AA107" i="2" s="1"/>
  <c r="K34" i="2" s="1"/>
  <c r="AI25" i="2"/>
  <c r="AA96" i="2" s="1"/>
  <c r="K23" i="2" s="1"/>
  <c r="AI29" i="2"/>
  <c r="AA100" i="2" s="1"/>
  <c r="K27" i="2" s="1"/>
  <c r="AI40" i="2"/>
  <c r="AA111" i="2" s="1"/>
  <c r="K38" i="2" s="1"/>
  <c r="AI28" i="2"/>
  <c r="AA99" i="2" s="1"/>
  <c r="K26" i="2" s="1"/>
  <c r="AI26" i="2"/>
  <c r="AA97" i="2" s="1"/>
  <c r="K24" i="2" s="1"/>
  <c r="AI30" i="2"/>
  <c r="AA101" i="2" s="1"/>
  <c r="K28" i="2" s="1"/>
  <c r="AI34" i="2"/>
  <c r="AA105" i="2" s="1"/>
  <c r="K32" i="2" s="1"/>
  <c r="M81" i="2" l="1"/>
  <c r="AC98" i="2" s="1"/>
  <c r="O21" i="2" s="1"/>
  <c r="AA109" i="2"/>
  <c r="K36" i="2" s="1"/>
  <c r="M93" i="2"/>
  <c r="AC110" i="2" s="1"/>
  <c r="O33" i="2" s="1"/>
  <c r="M80" i="2"/>
  <c r="AC97" i="2" s="1"/>
  <c r="O20" i="2" s="1"/>
  <c r="M78" i="2"/>
  <c r="AC95" i="2" s="1"/>
  <c r="O18" i="2" s="1"/>
  <c r="M91" i="2"/>
  <c r="AC108" i="2" s="1"/>
  <c r="O31" i="2" s="1"/>
  <c r="M85" i="2"/>
  <c r="AC102" i="2" s="1"/>
  <c r="O25" i="2" s="1"/>
  <c r="M82" i="2"/>
  <c r="AC99" i="2" s="1"/>
  <c r="O22" i="2" s="1"/>
  <c r="AA103" i="2"/>
  <c r="K30" i="2" s="1"/>
  <c r="M84" i="2"/>
  <c r="AC101" i="2" s="1"/>
  <c r="O24" i="2" s="1"/>
  <c r="M89" i="2"/>
  <c r="AC106" i="2" s="1"/>
  <c r="O29" i="2" s="1"/>
  <c r="M79" i="2"/>
  <c r="AC96" i="2" s="1"/>
  <c r="O19" i="2" s="1"/>
  <c r="M97" i="2"/>
  <c r="AC114" i="2" s="1"/>
  <c r="O37" i="2" s="1"/>
  <c r="M92" i="2"/>
  <c r="AC109" i="2" s="1"/>
  <c r="O32" i="2" s="1"/>
  <c r="M99" i="2"/>
  <c r="AC116" i="2" s="1"/>
  <c r="O39" i="2" s="1"/>
  <c r="M95" i="2"/>
  <c r="AC112" i="2" s="1"/>
  <c r="O35" i="2" s="1"/>
  <c r="M98" i="2"/>
  <c r="AC115" i="2" s="1"/>
  <c r="O38" i="2" s="1"/>
  <c r="M86" i="2"/>
  <c r="AC103" i="2" s="1"/>
  <c r="O26" i="2" s="1"/>
  <c r="M94" i="2"/>
  <c r="AC111" i="2" s="1"/>
  <c r="O34" i="2" s="1"/>
  <c r="M88" i="2"/>
  <c r="AC105" i="2" s="1"/>
  <c r="O28" i="2" s="1"/>
  <c r="M83" i="2"/>
  <c r="AC100" i="2" s="1"/>
  <c r="O23" i="2" s="1"/>
  <c r="M87" i="2"/>
  <c r="AC104" i="2" s="1"/>
  <c r="O27" i="2" s="1"/>
  <c r="O60" i="1"/>
  <c r="O58" i="1"/>
  <c r="O61" i="1"/>
  <c r="O56" i="1"/>
  <c r="O59" i="1"/>
  <c r="E54" i="1" l="1"/>
  <c r="AA18" i="1"/>
  <c r="R4" i="1" s="1"/>
  <c r="C68" i="2" l="1"/>
  <c r="AG97" i="2" l="1"/>
  <c r="M113" i="2" s="1"/>
  <c r="AG105" i="2"/>
  <c r="M124" i="2" s="1"/>
  <c r="AG109" i="2"/>
  <c r="M155" i="2" s="1"/>
  <c r="AG103" i="2"/>
  <c r="M122" i="2" s="1"/>
  <c r="AG108" i="2"/>
  <c r="M154" i="2" s="1"/>
  <c r="AG101" i="2"/>
  <c r="M117" i="2" s="1"/>
  <c r="AG112" i="2"/>
  <c r="M158" i="2" s="1"/>
  <c r="AG98" i="2"/>
  <c r="M114" i="2" s="1"/>
  <c r="AG106" i="2"/>
  <c r="M125" i="2" s="1"/>
  <c r="AG100" i="2"/>
  <c r="M116" i="2" s="1"/>
  <c r="AG114" i="2"/>
  <c r="M160" i="2" s="1"/>
  <c r="AG107" i="2"/>
  <c r="M126" i="2" s="1"/>
  <c r="AG99" i="2"/>
  <c r="M115" i="2" s="1"/>
  <c r="AG104" i="2"/>
  <c r="M123" i="2" s="1"/>
  <c r="AG102" i="2"/>
  <c r="M118" i="2" s="1"/>
  <c r="AG113" i="2"/>
  <c r="M159" i="2" s="1"/>
  <c r="AG111" i="2"/>
  <c r="M157" i="2" s="1"/>
  <c r="AG110" i="2"/>
  <c r="M156" i="2" s="1"/>
  <c r="AG96" i="2"/>
  <c r="M112" i="2" s="1"/>
  <c r="AG95" i="2"/>
  <c r="M111" i="2" s="1"/>
  <c r="AC42" i="2" l="1"/>
  <c r="AD42" i="2" s="1"/>
  <c r="AF107" i="2"/>
  <c r="K126" i="2" s="1"/>
  <c r="R126" i="2" s="1"/>
  <c r="AH111" i="2"/>
  <c r="O126" i="2" s="1"/>
  <c r="AH100" i="2"/>
  <c r="O112" i="2" s="1"/>
  <c r="AF96" i="2"/>
  <c r="K112" i="2" s="1"/>
  <c r="R112" i="2" s="1"/>
  <c r="AF104" i="2"/>
  <c r="K123" i="2" s="1"/>
  <c r="R123" i="2" s="1"/>
  <c r="AH108" i="2"/>
  <c r="O123" i="2" s="1"/>
  <c r="AF105" i="2"/>
  <c r="K124" i="2" s="1"/>
  <c r="R124" i="2" s="1"/>
  <c r="AH109" i="2"/>
  <c r="O124" i="2" s="1"/>
  <c r="AF106" i="2"/>
  <c r="K125" i="2" s="1"/>
  <c r="R125" i="2" s="1"/>
  <c r="AH110" i="2"/>
  <c r="O125" i="2" s="1"/>
  <c r="AF112" i="2"/>
  <c r="K158" i="2" s="1"/>
  <c r="R158" i="2" s="1"/>
  <c r="AH116" i="2"/>
  <c r="O158" i="2" s="1"/>
  <c r="AF108" i="2"/>
  <c r="K154" i="2" s="1"/>
  <c r="R154" i="2" s="1"/>
  <c r="AH112" i="2"/>
  <c r="O154" i="2" s="1"/>
  <c r="AF110" i="2"/>
  <c r="K156" i="2" s="1"/>
  <c r="R156" i="2" s="1"/>
  <c r="AH114" i="2"/>
  <c r="O156" i="2" s="1"/>
  <c r="AF109" i="2"/>
  <c r="K155" i="2" s="1"/>
  <c r="R155" i="2" s="1"/>
  <c r="AH113" i="2"/>
  <c r="O155" i="2" s="1"/>
  <c r="AF114" i="2"/>
  <c r="K160" i="2" s="1"/>
  <c r="R160" i="2" s="1"/>
  <c r="AH118" i="2"/>
  <c r="O160" i="2" s="1"/>
  <c r="AF113" i="2"/>
  <c r="K159" i="2" s="1"/>
  <c r="R159" i="2" s="1"/>
  <c r="AH117" i="2"/>
  <c r="O159" i="2" s="1"/>
  <c r="AF101" i="2"/>
  <c r="K117" i="2" s="1"/>
  <c r="R117" i="2" s="1"/>
  <c r="AH105" i="2"/>
  <c r="O117" i="2" s="1"/>
  <c r="AF100" i="2"/>
  <c r="K116" i="2" s="1"/>
  <c r="R116" i="2" s="1"/>
  <c r="AH104" i="2"/>
  <c r="O116" i="2" s="1"/>
  <c r="AF97" i="2"/>
  <c r="K113" i="2" s="1"/>
  <c r="R113" i="2" s="1"/>
  <c r="AH101" i="2"/>
  <c r="O113" i="2" s="1"/>
  <c r="AH99" i="2"/>
  <c r="O111" i="2" s="1"/>
  <c r="AF95" i="2"/>
  <c r="K111" i="2" s="1"/>
  <c r="R111" i="2" s="1"/>
  <c r="AF102" i="2"/>
  <c r="K118" i="2" s="1"/>
  <c r="R118" i="2" s="1"/>
  <c r="AH106" i="2"/>
  <c r="O118" i="2" s="1"/>
  <c r="AF99" i="2"/>
  <c r="K115" i="2" s="1"/>
  <c r="R115" i="2" s="1"/>
  <c r="AH103" i="2"/>
  <c r="O115" i="2" s="1"/>
  <c r="AF111" i="2"/>
  <c r="K157" i="2" s="1"/>
  <c r="R157" i="2" s="1"/>
  <c r="AH115" i="2"/>
  <c r="O157" i="2" s="1"/>
  <c r="AF98" i="2"/>
  <c r="K114" i="2" s="1"/>
  <c r="R114" i="2" s="1"/>
  <c r="AH102" i="2"/>
  <c r="O114" i="2" s="1"/>
  <c r="AF103" i="2"/>
  <c r="K122" i="2" s="1"/>
  <c r="R122" i="2" s="1"/>
  <c r="AH107" i="2"/>
  <c r="O122" i="2" s="1"/>
  <c r="AE42" i="2" l="1"/>
  <c r="AG42" i="2" s="1"/>
  <c r="AG44" i="2" s="1"/>
  <c r="S122" i="2"/>
  <c r="U29" i="2" s="1"/>
  <c r="T29" i="2"/>
  <c r="S157" i="2"/>
  <c r="U37" i="2" s="1"/>
  <c r="T37" i="2"/>
  <c r="S118" i="2"/>
  <c r="U28" i="2" s="1"/>
  <c r="T28" i="2"/>
  <c r="S116" i="2"/>
  <c r="U26" i="2" s="1"/>
  <c r="T26" i="2"/>
  <c r="S159" i="2"/>
  <c r="U43" i="2" s="1"/>
  <c r="T43" i="2"/>
  <c r="S156" i="2"/>
  <c r="U36" i="2" s="1"/>
  <c r="T36" i="2"/>
  <c r="S158" i="2"/>
  <c r="U42" i="2" s="1"/>
  <c r="T42" i="2"/>
  <c r="S123" i="2"/>
  <c r="U30" i="2" s="1"/>
  <c r="T30" i="2"/>
  <c r="S126" i="2"/>
  <c r="U33" i="2" s="1"/>
  <c r="T33" i="2"/>
  <c r="S111" i="2"/>
  <c r="S112" i="2"/>
  <c r="S114" i="2"/>
  <c r="S115" i="2"/>
  <c r="S113" i="2"/>
  <c r="S117" i="2"/>
  <c r="U27" i="2" s="1"/>
  <c r="T27" i="2"/>
  <c r="S160" i="2"/>
  <c r="U44" i="2" s="1"/>
  <c r="T44" i="2"/>
  <c r="S155" i="2"/>
  <c r="U35" i="2" s="1"/>
  <c r="T35" i="2"/>
  <c r="S154" i="2"/>
  <c r="U34" i="2" s="1"/>
  <c r="T34" i="2"/>
  <c r="S125" i="2"/>
  <c r="U32" i="2" s="1"/>
  <c r="T32" i="2"/>
  <c r="S124" i="2"/>
  <c r="U31" i="2" s="1"/>
  <c r="T31" i="2"/>
  <c r="AF42" i="2" l="1"/>
  <c r="AH42" i="2" s="1"/>
  <c r="AI42" i="2" l="1"/>
  <c r="AA113" i="2" s="1"/>
  <c r="K40" i="2" s="1"/>
  <c r="AH44" i="2"/>
  <c r="AG45" i="2" s="1"/>
  <c r="AI44" i="2" l="1"/>
  <c r="AA115" i="2" s="1"/>
  <c r="K43" i="2" s="1"/>
  <c r="M100" i="2"/>
  <c r="AC117" i="2" s="1"/>
  <c r="O40" i="2" s="1"/>
  <c r="M103" i="2" l="1"/>
  <c r="AC119" i="2" s="1"/>
  <c r="O43" i="2" s="1"/>
  <c r="C67" i="2" s="1"/>
  <c r="C69" i="2" s="1"/>
  <c r="C65" i="2"/>
  <c r="M69" i="2"/>
  <c r="AJ39" i="2" l="1"/>
  <c r="AJ34" i="2"/>
  <c r="AF60" i="2" s="1"/>
  <c r="AJ37" i="2"/>
  <c r="AF63" i="2" s="1"/>
  <c r="AJ35" i="2"/>
  <c r="AF61" i="2" s="1"/>
  <c r="AJ25" i="2"/>
  <c r="AJ21" i="2"/>
  <c r="AJ33" i="2"/>
  <c r="AF59" i="2" s="1"/>
  <c r="AJ30" i="2"/>
  <c r="AF56" i="2" s="1"/>
  <c r="AJ24" i="2"/>
  <c r="AJ26" i="2"/>
  <c r="AJ36" i="2"/>
  <c r="AF62" i="2" s="1"/>
  <c r="AJ31" i="2"/>
  <c r="AF57" i="2" s="1"/>
  <c r="AJ22" i="2"/>
  <c r="AJ28" i="2"/>
  <c r="AJ29" i="2"/>
  <c r="AJ38" i="2"/>
  <c r="AJ23" i="2"/>
  <c r="AJ32" i="2"/>
  <c r="AF58" i="2" s="1"/>
  <c r="AJ20" i="2"/>
  <c r="AJ27" i="2"/>
  <c r="AF51" i="2" l="1"/>
  <c r="AI59" i="2"/>
  <c r="AF49" i="2"/>
  <c r="AI57" i="2"/>
  <c r="AI62" i="2"/>
  <c r="AF54" i="2"/>
  <c r="AI55" i="2"/>
  <c r="AF47" i="2"/>
  <c r="AF52" i="2"/>
  <c r="AI60" i="2"/>
  <c r="AF55" i="2"/>
  <c r="AI63" i="2"/>
  <c r="AI58" i="2"/>
  <c r="AF50" i="2"/>
  <c r="AI61" i="2"/>
  <c r="AF53" i="2"/>
  <c r="AJ54" i="2"/>
  <c r="AI54" i="2"/>
  <c r="AF48" i="2"/>
  <c r="AI56" i="2"/>
  <c r="AI70" i="2"/>
  <c r="AI71" i="2"/>
  <c r="AI65" i="2"/>
  <c r="AI72" i="2"/>
  <c r="AF64" i="2"/>
  <c r="AI69" i="2"/>
  <c r="AI68" i="2"/>
  <c r="AI66" i="2"/>
  <c r="AI64" i="2"/>
  <c r="AF46" i="2"/>
  <c r="AI67" i="2"/>
  <c r="AF65" i="2"/>
  <c r="AI73" i="2"/>
  <c r="AI75" i="2" l="1"/>
  <c r="AF74" i="2" s="1"/>
  <c r="AF75" i="2" s="1"/>
  <c r="AF76" i="2" s="1"/>
  <c r="AF78" i="2" s="1"/>
  <c r="AF79" i="2" s="1"/>
  <c r="AF80" i="2" s="1"/>
  <c r="AJ63" i="2" s="1"/>
  <c r="AF67" i="2"/>
  <c r="AJ62" i="2" l="1"/>
  <c r="AE102" i="2" s="1"/>
  <c r="R28" i="2" s="1"/>
  <c r="AJ55" i="2"/>
  <c r="AE95" i="2" s="1"/>
  <c r="AJ60" i="2"/>
  <c r="AE100" i="2" s="1"/>
  <c r="R26" i="2" s="1"/>
  <c r="AJ56" i="2"/>
  <c r="AE96" i="2" s="1"/>
  <c r="AJ61" i="2"/>
  <c r="AE101" i="2" s="1"/>
  <c r="R27" i="2" s="1"/>
  <c r="AJ59" i="2"/>
  <c r="AE99" i="2" s="1"/>
  <c r="AJ58" i="2"/>
  <c r="AE98" i="2" s="1"/>
  <c r="AJ57" i="2"/>
  <c r="AE97" i="2" s="1"/>
  <c r="AJ74" i="2"/>
  <c r="AE114" i="2" s="1"/>
  <c r="R44" i="2" s="1"/>
  <c r="AI81" i="2"/>
  <c r="AD95" i="2" s="1"/>
  <c r="G111" i="2" s="1"/>
  <c r="Q111" i="2" s="1"/>
  <c r="T111" i="2" s="1"/>
  <c r="AJ67" i="2"/>
  <c r="AE107" i="2" s="1"/>
  <c r="R33" i="2" s="1"/>
  <c r="AJ68" i="2"/>
  <c r="AE108" i="2" s="1"/>
  <c r="R34" i="2" s="1"/>
  <c r="AI102" i="2"/>
  <c r="AD119" i="2" s="1"/>
  <c r="G162" i="2" s="1"/>
  <c r="Q162" i="2" s="1"/>
  <c r="AJ65" i="2"/>
  <c r="AE105" i="2" s="1"/>
  <c r="R31" i="2" s="1"/>
  <c r="AJ73" i="2"/>
  <c r="AE113" i="2" s="1"/>
  <c r="R43" i="2" s="1"/>
  <c r="AE103" i="2"/>
  <c r="R29" i="2" s="1"/>
  <c r="AJ64" i="2"/>
  <c r="AE104" i="2" s="1"/>
  <c r="R30" i="2" s="1"/>
  <c r="AJ69" i="2"/>
  <c r="AE109" i="2" s="1"/>
  <c r="R35" i="2" s="1"/>
  <c r="AJ71" i="2"/>
  <c r="AE111" i="2" s="1"/>
  <c r="R37" i="2" s="1"/>
  <c r="T103" i="2"/>
  <c r="U103" i="2"/>
  <c r="AG119" i="2" s="1"/>
  <c r="M162" i="2" s="1"/>
  <c r="AI83" i="2"/>
  <c r="AD97" i="2" s="1"/>
  <c r="G113" i="2" s="1"/>
  <c r="Q113" i="2" s="1"/>
  <c r="T113" i="2" s="1"/>
  <c r="AI100" i="2"/>
  <c r="AD114" i="2" s="1"/>
  <c r="G160" i="2" s="1"/>
  <c r="Q160" i="2" s="1"/>
  <c r="AI87" i="2"/>
  <c r="AD101" i="2" s="1"/>
  <c r="G117" i="2" s="1"/>
  <c r="Q117" i="2" s="1"/>
  <c r="AI94" i="2"/>
  <c r="AD108" i="2" s="1"/>
  <c r="G154" i="2" s="1"/>
  <c r="Q154" i="2" s="1"/>
  <c r="AI95" i="2"/>
  <c r="AD109" i="2" s="1"/>
  <c r="G155" i="2" s="1"/>
  <c r="Q155" i="2" s="1"/>
  <c r="AI91" i="2"/>
  <c r="AD105" i="2" s="1"/>
  <c r="G124" i="2" s="1"/>
  <c r="Q124" i="2" s="1"/>
  <c r="AI97" i="2"/>
  <c r="AD111" i="2" s="1"/>
  <c r="G157" i="2" s="1"/>
  <c r="Q157" i="2" s="1"/>
  <c r="AI92" i="2"/>
  <c r="AD106" i="2" s="1"/>
  <c r="G125" i="2" s="1"/>
  <c r="Q125" i="2" s="1"/>
  <c r="AI99" i="2"/>
  <c r="AD113" i="2" s="1"/>
  <c r="G159" i="2" s="1"/>
  <c r="Q159" i="2" s="1"/>
  <c r="AI89" i="2"/>
  <c r="AD103" i="2" s="1"/>
  <c r="G122" i="2" s="1"/>
  <c r="Q122" i="2" s="1"/>
  <c r="AI93" i="2"/>
  <c r="AD107" i="2" s="1"/>
  <c r="G126" i="2" s="1"/>
  <c r="Q126" i="2" s="1"/>
  <c r="AI86" i="2"/>
  <c r="AD100" i="2" s="1"/>
  <c r="G116" i="2" s="1"/>
  <c r="Q116" i="2" s="1"/>
  <c r="AI90" i="2"/>
  <c r="AD104" i="2" s="1"/>
  <c r="G123" i="2" s="1"/>
  <c r="Q123" i="2" s="1"/>
  <c r="AI88" i="2"/>
  <c r="AD102" i="2" s="1"/>
  <c r="G118" i="2" s="1"/>
  <c r="Q118" i="2" s="1"/>
  <c r="AI85" i="2"/>
  <c r="AD99" i="2" s="1"/>
  <c r="G115" i="2" s="1"/>
  <c r="Q115" i="2" s="1"/>
  <c r="T115" i="2" s="1"/>
  <c r="AI98" i="2"/>
  <c r="AD112" i="2" s="1"/>
  <c r="G158" i="2" s="1"/>
  <c r="Q158" i="2" s="1"/>
  <c r="AI84" i="2"/>
  <c r="AD98" i="2" s="1"/>
  <c r="G114" i="2" s="1"/>
  <c r="Q114" i="2" s="1"/>
  <c r="T114" i="2" s="1"/>
  <c r="AI96" i="2"/>
  <c r="AD110" i="2" s="1"/>
  <c r="G156" i="2" s="1"/>
  <c r="Q156" i="2" s="1"/>
  <c r="AI82" i="2"/>
  <c r="AD96" i="2" s="1"/>
  <c r="G112" i="2" s="1"/>
  <c r="Q112" i="2" s="1"/>
  <c r="T112" i="2" s="1"/>
  <c r="AJ76" i="2"/>
  <c r="AE119" i="2" s="1"/>
  <c r="R46" i="2" s="1"/>
  <c r="AJ66" i="2"/>
  <c r="AE106" i="2" s="1"/>
  <c r="R32" i="2" s="1"/>
  <c r="AJ70" i="2"/>
  <c r="AE110" i="2" s="1"/>
  <c r="R36" i="2" s="1"/>
  <c r="AJ72" i="2"/>
  <c r="AE112" i="2" s="1"/>
  <c r="R42" i="2" s="1"/>
  <c r="Q42" i="2" l="1"/>
  <c r="T158" i="2"/>
  <c r="W42" i="2" s="1"/>
  <c r="Q33" i="2"/>
  <c r="T126" i="2"/>
  <c r="W33" i="2" s="1"/>
  <c r="Q35" i="2"/>
  <c r="T155" i="2"/>
  <c r="W35" i="2" s="1"/>
  <c r="AF119" i="2"/>
  <c r="K162" i="2" s="1"/>
  <c r="R162" i="2" s="1"/>
  <c r="T162" i="2" s="1"/>
  <c r="W46" i="2" s="1"/>
  <c r="AB52" i="2" s="1"/>
  <c r="W103" i="2"/>
  <c r="AH123" i="2" s="1"/>
  <c r="O162" i="2" s="1"/>
  <c r="Q29" i="2"/>
  <c r="T122" i="2"/>
  <c r="W29" i="2" s="1"/>
  <c r="Q34" i="2"/>
  <c r="T154" i="2"/>
  <c r="W34" i="2" s="1"/>
  <c r="Q46" i="2"/>
  <c r="Q28" i="2"/>
  <c r="T118" i="2"/>
  <c r="W28" i="2" s="1"/>
  <c r="Q32" i="2"/>
  <c r="T125" i="2"/>
  <c r="W32" i="2" s="1"/>
  <c r="Q44" i="2"/>
  <c r="T160" i="2"/>
  <c r="W44" i="2" s="1"/>
  <c r="Q27" i="2"/>
  <c r="T117" i="2"/>
  <c r="W27" i="2" s="1"/>
  <c r="Q36" i="2"/>
  <c r="T156" i="2"/>
  <c r="W36" i="2" s="1"/>
  <c r="Q30" i="2"/>
  <c r="T123" i="2"/>
  <c r="W30" i="2" s="1"/>
  <c r="Q37" i="2"/>
  <c r="T157" i="2"/>
  <c r="W37" i="2" s="1"/>
  <c r="Q43" i="2"/>
  <c r="T159" i="2"/>
  <c r="W43" i="2" s="1"/>
  <c r="Q26" i="2"/>
  <c r="T116" i="2"/>
  <c r="W26" i="2" s="1"/>
  <c r="Q31" i="2"/>
  <c r="T124" i="2"/>
  <c r="W31" i="2" s="1"/>
  <c r="C70" i="2" l="1"/>
  <c r="T46" i="2"/>
  <c r="S162" i="2"/>
  <c r="U46" i="2" s="1"/>
  <c r="O57" i="1" l="1"/>
  <c r="E52" i="1"/>
  <c r="O97" i="1"/>
  <c r="I85" i="1" l="1"/>
  <c r="M101" i="1"/>
  <c r="M102" i="1"/>
  <c r="O101" i="1"/>
  <c r="O102" i="1"/>
  <c r="O100" i="1"/>
  <c r="M98" i="1"/>
  <c r="O98" i="1"/>
  <c r="M100" i="1"/>
  <c r="M99" i="1"/>
  <c r="O99" i="1"/>
  <c r="K92" i="1"/>
  <c r="M97" i="1"/>
  <c r="E87" i="1"/>
  <c r="F85" i="1" s="1"/>
  <c r="K13" i="1" s="1"/>
  <c r="M87" i="1"/>
  <c r="K93" i="1" l="1"/>
  <c r="K91" i="1" s="1"/>
  <c r="R100" i="1"/>
  <c r="R102" i="1"/>
  <c r="R101" i="1"/>
  <c r="R99" i="1"/>
  <c r="M119" i="1"/>
  <c r="R98" i="1"/>
  <c r="O119" i="1"/>
  <c r="W106" i="1" s="1"/>
  <c r="D71" i="1"/>
  <c r="M92" i="1" l="1"/>
  <c r="M93" i="1"/>
  <c r="W110" i="1"/>
  <c r="K123" i="1"/>
  <c r="W112" i="1"/>
  <c r="W100" i="1"/>
  <c r="E50" i="1"/>
  <c r="W111" i="1"/>
  <c r="W108" i="1"/>
  <c r="W109" i="1"/>
  <c r="W116" i="1"/>
  <c r="W113" i="1"/>
  <c r="W115" i="1"/>
  <c r="W105" i="1"/>
  <c r="W107" i="1"/>
  <c r="W114" i="1"/>
  <c r="W103" i="1"/>
  <c r="W102" i="1"/>
  <c r="W101" i="1"/>
  <c r="W104" i="1"/>
  <c r="M95" i="1" l="1"/>
  <c r="R97" i="1" l="1"/>
  <c r="K119" i="1"/>
  <c r="E49" i="1" s="1"/>
  <c r="O46" i="1" l="1"/>
  <c r="O47" i="1"/>
  <c r="O42" i="1"/>
  <c r="O45" i="1"/>
  <c r="O44" i="1"/>
  <c r="O43" i="1"/>
  <c r="R119" i="1"/>
  <c r="O258" i="1" s="1"/>
  <c r="K122" i="1"/>
  <c r="K124" i="1" s="1"/>
  <c r="K125" i="1" s="1"/>
  <c r="M122" i="1" s="1"/>
  <c r="M123" i="1" s="1"/>
  <c r="M124" i="1" s="1"/>
  <c r="O122" i="1" s="1"/>
  <c r="O259" i="1" l="1"/>
  <c r="O257" i="1"/>
  <c r="E51" i="1"/>
  <c r="E53" i="1" s="1"/>
  <c r="Z103" i="1"/>
  <c r="Z91" i="1" s="1"/>
  <c r="Z100" i="1"/>
  <c r="Z88" i="1" s="1"/>
  <c r="Z101" i="1"/>
  <c r="Z89" i="1" s="1"/>
  <c r="Z102" i="1"/>
  <c r="Z90" i="1" s="1"/>
  <c r="Z105" i="1" l="1"/>
  <c r="Z93" i="1"/>
</calcChain>
</file>

<file path=xl/sharedStrings.xml><?xml version="1.0" encoding="utf-8"?>
<sst xmlns="http://schemas.openxmlformats.org/spreadsheetml/2006/main" count="585" uniqueCount="468">
  <si>
    <t xml:space="preserve"> años o </t>
  </si>
  <si>
    <t>HOMBRE</t>
  </si>
  <si>
    <t>MAS INFORMACION</t>
  </si>
  <si>
    <t xml:space="preserve"> meses</t>
  </si>
  <si>
    <t>MUJER</t>
  </si>
  <si>
    <t>NOMBRE DEL LESIONADO</t>
  </si>
  <si>
    <t xml:space="preserve"> años, </t>
  </si>
  <si>
    <t>H</t>
  </si>
  <si>
    <t>VR. ASUMIDO POR EL SOAT EN INCAP.</t>
  </si>
  <si>
    <t>DIAS DE INCAPACIDAD</t>
  </si>
  <si>
    <t>SI</t>
  </si>
  <si>
    <t>TIPO DE AFILIACION SGSS</t>
  </si>
  <si>
    <t>SUBSIDIADO</t>
  </si>
  <si>
    <t>%</t>
  </si>
  <si>
    <t>TOTALES</t>
  </si>
  <si>
    <t>MESES PASADO</t>
  </si>
  <si>
    <t>MESES FUTURO</t>
  </si>
  <si>
    <t>TASA DE DAÑOS MORALES EN SMMLV</t>
  </si>
  <si>
    <t>NIVEL 1</t>
  </si>
  <si>
    <t>NIVEL 2</t>
  </si>
  <si>
    <t>NIVEL 3</t>
  </si>
  <si>
    <t>LESIONADO CONYUGE PADRE, MADRE HIJOS</t>
  </si>
  <si>
    <t>ABUELO HERMANO NIETOS</t>
  </si>
  <si>
    <t>.+ DE 50</t>
  </si>
  <si>
    <t>40-50</t>
  </si>
  <si>
    <t>30-40</t>
  </si>
  <si>
    <t xml:space="preserve">Para el cálculo de los perjuicios morales con PCL </t>
  </si>
  <si>
    <t>20-30</t>
  </si>
  <si>
    <t>% se utiliza la información consignada en la Sentencia de Unificación Jurisprudencial del 28 de agosto de 2014 emitida por el Consejo de Estado, Sala de lo Contencioso Administrativo.</t>
  </si>
  <si>
    <t>10-20</t>
  </si>
  <si>
    <t>01-10</t>
  </si>
  <si>
    <t xml:space="preserve"> SMMLV</t>
  </si>
  <si>
    <t xml:space="preserve">1° Consanguinidad Max </t>
  </si>
  <si>
    <t xml:space="preserve">2° Consanguinidad Max </t>
  </si>
  <si>
    <t xml:space="preserve">3° Consanguinidad Max </t>
  </si>
  <si>
    <t xml:space="preserve">4° Consanguinidad Max </t>
  </si>
  <si>
    <t xml:space="preserve">Sin Consanguinidad Max </t>
  </si>
  <si>
    <t>CONTRIBUTIV.</t>
  </si>
  <si>
    <t>BENEFICIARIO</t>
  </si>
  <si>
    <t>PENSIONADO</t>
  </si>
  <si>
    <t>MILITAR</t>
  </si>
  <si>
    <t>Menor con PCL</t>
  </si>
  <si>
    <t>NO</t>
  </si>
  <si>
    <t>CONYUGE</t>
  </si>
  <si>
    <t>PADRE</t>
  </si>
  <si>
    <t>MADRE</t>
  </si>
  <si>
    <t>HIJO</t>
  </si>
  <si>
    <t>HERMANO</t>
  </si>
  <si>
    <t>ABUELO</t>
  </si>
  <si>
    <t>NIETO</t>
  </si>
  <si>
    <t>TIO</t>
  </si>
  <si>
    <t>SOBRINO</t>
  </si>
  <si>
    <t>PRIMO</t>
  </si>
  <si>
    <t>OTRO</t>
  </si>
  <si>
    <t xml:space="preserve">1° Consang. Max 100 SMMLV </t>
  </si>
  <si>
    <t>M</t>
  </si>
  <si>
    <t>M Invalida</t>
  </si>
  <si>
    <t>H Invalido</t>
  </si>
  <si>
    <t>expect r20</t>
  </si>
  <si>
    <t>edad r20</t>
  </si>
  <si>
    <t>expect r19</t>
  </si>
  <si>
    <t>edad r19</t>
  </si>
  <si>
    <t>expect r18</t>
  </si>
  <si>
    <t>edad r18</t>
  </si>
  <si>
    <t>expect r17</t>
  </si>
  <si>
    <t>edad r17</t>
  </si>
  <si>
    <t>expect r16</t>
  </si>
  <si>
    <t>edad r16</t>
  </si>
  <si>
    <t>expect r15</t>
  </si>
  <si>
    <t>edad r15</t>
  </si>
  <si>
    <t>expect r14</t>
  </si>
  <si>
    <t>edad r14</t>
  </si>
  <si>
    <t>expect r13</t>
  </si>
  <si>
    <t>edad r13</t>
  </si>
  <si>
    <t>expect r12</t>
  </si>
  <si>
    <t>edad r12</t>
  </si>
  <si>
    <t>expect r11</t>
  </si>
  <si>
    <t>edad r11</t>
  </si>
  <si>
    <t>expect r10</t>
  </si>
  <si>
    <t>edad r10</t>
  </si>
  <si>
    <t>expect r9</t>
  </si>
  <si>
    <t>edad r9</t>
  </si>
  <si>
    <t>expect r8</t>
  </si>
  <si>
    <t>edad r8</t>
  </si>
  <si>
    <t>expect r7</t>
  </si>
  <si>
    <t>edad r7</t>
  </si>
  <si>
    <t>expect r6</t>
  </si>
  <si>
    <t>edad r6</t>
  </si>
  <si>
    <t>expect r5</t>
  </si>
  <si>
    <t>edad r5</t>
  </si>
  <si>
    <t>expect r4</t>
  </si>
  <si>
    <t>edad r4</t>
  </si>
  <si>
    <t>expect r3</t>
  </si>
  <si>
    <t>edad r3</t>
  </si>
  <si>
    <t>expect r2</t>
  </si>
  <si>
    <t>edad r2</t>
  </si>
  <si>
    <t>expect r1</t>
  </si>
  <si>
    <t>edad r1</t>
  </si>
  <si>
    <t>expectativa muerto</t>
  </si>
  <si>
    <t>edad muerto</t>
  </si>
  <si>
    <t>EDAD AFECTADO</t>
  </si>
  <si>
    <t>edad invalido</t>
  </si>
  <si>
    <t>hombre</t>
  </si>
  <si>
    <t>mujer</t>
  </si>
  <si>
    <t>NOMBRE DEL FALLECIDO</t>
  </si>
  <si>
    <t>FECHA NACIMIENTO DEL FALLECIDO</t>
  </si>
  <si>
    <t>FECHA DE MUERTE DE LA VICTIMA</t>
  </si>
  <si>
    <t xml:space="preserve"> dias </t>
  </si>
  <si>
    <t xml:space="preserve"> años, o </t>
  </si>
  <si>
    <t>FECHA DE NACIMIENTO</t>
  </si>
  <si>
    <t>GENERO Y DEPENDENCIA</t>
  </si>
  <si>
    <t>edad</t>
  </si>
  <si>
    <t>años</t>
  </si>
  <si>
    <t>expectativa</t>
  </si>
  <si>
    <t>meses</t>
  </si>
  <si>
    <t>PASADO</t>
  </si>
  <si>
    <t>FUTURO</t>
  </si>
  <si>
    <t>LUCRO PASADO</t>
  </si>
  <si>
    <t>LUCRO FUTURO</t>
  </si>
  <si>
    <t>CONSOLIDADO</t>
  </si>
  <si>
    <t>√</t>
  </si>
  <si>
    <t>El lucro cesante se calcula con las formulas expuestas según Resolución 1555 de 2010 de la Super Intendencia Financiera de Colombia, donde I es el ingreso, p son los meses pasados y f son los meses futuros</t>
  </si>
  <si>
    <t>Para el Lucro cada reclamante se  analiza independientemente comparando su expectativa de vida con la del fallecido y tomando siempre la menor.  En caso de reclamantes menores de edad se compara la expectativa de vida del fallecido con el tiempo faltante para que el menor cumpla los 25 años y se toma siempre el dato menor</t>
  </si>
  <si>
    <t>Para el cálculo de los perjuicios morales se usa la información de la Sentencia de Unificación Jurisprudencial del 28 de agosto de 2014 emitida por el Consejo de Estado, Sala de lo Contencioso Administrativo</t>
  </si>
  <si>
    <t>ASEGURADO MORAL</t>
  </si>
  <si>
    <t>1° grado de consanguinidad o civil (Padre, Madre, Hijos, Conyuge) 100% Max. 100 SMMLV</t>
  </si>
  <si>
    <t>ASEGURADO SIN MORAL</t>
  </si>
  <si>
    <t>2° grado de consanguinidad o civil (Hermanos, Abuelos, Nietos) 50% Max. 50 SMMLV</t>
  </si>
  <si>
    <t>Tercer grado de consanguinidad o civil (Tios, Sobrinos) 35% Max. 35 SMMLV</t>
  </si>
  <si>
    <t>Cuarto grado de consanguinidad o civil (Primos) 25% Max. 25 SMMLV</t>
  </si>
  <si>
    <t>Sin grado consanguineo (Amigo, Vecino, Ahijado, Cuñado, Otro) 15% Max. 15 SMMLV</t>
  </si>
  <si>
    <t>pers. Moral</t>
  </si>
  <si>
    <t>pers. Lucro</t>
  </si>
  <si>
    <t>salario para lucro</t>
  </si>
  <si>
    <t>x</t>
  </si>
  <si>
    <t>☺</t>
  </si>
  <si>
    <t>☻</t>
  </si>
  <si>
    <t>♥</t>
  </si>
  <si>
    <t>♦</t>
  </si>
  <si>
    <t>♣</t>
  </si>
  <si>
    <t>♠</t>
  </si>
  <si>
    <t>•</t>
  </si>
  <si>
    <t>◘</t>
  </si>
  <si>
    <t>○</t>
  </si>
  <si>
    <t>◙</t>
  </si>
  <si>
    <t>♂</t>
  </si>
  <si>
    <t>♀</t>
  </si>
  <si>
    <t>♪</t>
  </si>
  <si>
    <t>♫</t>
  </si>
  <si>
    <t>☼</t>
  </si>
  <si>
    <t>►</t>
  </si>
  <si>
    <t>◄</t>
  </si>
  <si>
    <t>↕</t>
  </si>
  <si>
    <t>‼</t>
  </si>
  <si>
    <t>¶</t>
  </si>
  <si>
    <t>§</t>
  </si>
  <si>
    <t>▬</t>
  </si>
  <si>
    <t>↨</t>
  </si>
  <si>
    <t>↑</t>
  </si>
  <si>
    <t>↓</t>
  </si>
  <si>
    <t>→</t>
  </si>
  <si>
    <t>←</t>
  </si>
  <si>
    <t>∟</t>
  </si>
  <si>
    <t>↔</t>
  </si>
  <si>
    <t>▲</t>
  </si>
  <si>
    <t>▼</t>
  </si>
  <si>
    <t xml:space="preserve"> </t>
  </si>
  <si>
    <t>!</t>
  </si>
  <si>
    <t>"</t>
  </si>
  <si>
    <t>#</t>
  </si>
  <si>
    <t>$</t>
  </si>
  <si>
    <t>&amp;</t>
  </si>
  <si>
    <t/>
  </si>
  <si>
    <t>(</t>
  </si>
  <si>
    <t>)</t>
  </si>
  <si>
    <t>*</t>
  </si>
  <si>
    <t>+</t>
  </si>
  <si>
    <t>,</t>
  </si>
  <si>
    <t>-</t>
  </si>
  <si>
    <t>.</t>
  </si>
  <si>
    <t>:</t>
  </si>
  <si>
    <t>;</t>
  </si>
  <si>
    <t>&lt;</t>
  </si>
  <si>
    <t>=</t>
  </si>
  <si>
    <t>&gt;</t>
  </si>
  <si>
    <t>?</t>
  </si>
  <si>
    <t>@</t>
  </si>
  <si>
    <t>A</t>
  </si>
  <si>
    <t>B</t>
  </si>
  <si>
    <t>C</t>
  </si>
  <si>
    <t>D</t>
  </si>
  <si>
    <t>E</t>
  </si>
  <si>
    <t>F</t>
  </si>
  <si>
    <t>G</t>
  </si>
  <si>
    <t>I</t>
  </si>
  <si>
    <t>J</t>
  </si>
  <si>
    <t>K</t>
  </si>
  <si>
    <t>L</t>
  </si>
  <si>
    <t>N</t>
  </si>
  <si>
    <t>O</t>
  </si>
  <si>
    <t>P</t>
  </si>
  <si>
    <t>Q</t>
  </si>
  <si>
    <t>R</t>
  </si>
  <si>
    <t>S</t>
  </si>
  <si>
    <t>T</t>
  </si>
  <si>
    <t>U</t>
  </si>
  <si>
    <t>V</t>
  </si>
  <si>
    <t>W</t>
  </si>
  <si>
    <t>X</t>
  </si>
  <si>
    <t>Y</t>
  </si>
  <si>
    <t>Z</t>
  </si>
  <si>
    <t>[</t>
  </si>
  <si>
    <t>\</t>
  </si>
  <si>
    <t>]</t>
  </si>
  <si>
    <t>^</t>
  </si>
  <si>
    <t>_</t>
  </si>
  <si>
    <t>`</t>
  </si>
  <si>
    <t>a</t>
  </si>
  <si>
    <t>b</t>
  </si>
  <si>
    <t>c</t>
  </si>
  <si>
    <t>d</t>
  </si>
  <si>
    <t>e</t>
  </si>
  <si>
    <t>f</t>
  </si>
  <si>
    <t>g</t>
  </si>
  <si>
    <t>h</t>
  </si>
  <si>
    <t>i</t>
  </si>
  <si>
    <t>j</t>
  </si>
  <si>
    <t>k</t>
  </si>
  <si>
    <t>l</t>
  </si>
  <si>
    <t>m</t>
  </si>
  <si>
    <t>n</t>
  </si>
  <si>
    <t>o</t>
  </si>
  <si>
    <t>p</t>
  </si>
  <si>
    <t>q</t>
  </si>
  <si>
    <t>r</t>
  </si>
  <si>
    <t>s</t>
  </si>
  <si>
    <t>t</t>
  </si>
  <si>
    <t>u</t>
  </si>
  <si>
    <t>v</t>
  </si>
  <si>
    <t>w</t>
  </si>
  <si>
    <t>y</t>
  </si>
  <si>
    <t>z</t>
  </si>
  <si>
    <t>{</t>
  </si>
  <si>
    <t>|</t>
  </si>
  <si>
    <t>}</t>
  </si>
  <si>
    <t>~</t>
  </si>
  <si>
    <t>⌂</t>
  </si>
  <si>
    <t>Ç</t>
  </si>
  <si>
    <t>ü</t>
  </si>
  <si>
    <t>é</t>
  </si>
  <si>
    <t>â</t>
  </si>
  <si>
    <t>ä</t>
  </si>
  <si>
    <t>à</t>
  </si>
  <si>
    <t>å</t>
  </si>
  <si>
    <t>ç</t>
  </si>
  <si>
    <t>ê</t>
  </si>
  <si>
    <t>ë</t>
  </si>
  <si>
    <t>è</t>
  </si>
  <si>
    <t>ï</t>
  </si>
  <si>
    <t>î</t>
  </si>
  <si>
    <t>ì</t>
  </si>
  <si>
    <t>Ä</t>
  </si>
  <si>
    <t>Å</t>
  </si>
  <si>
    <t>É</t>
  </si>
  <si>
    <t>æ</t>
  </si>
  <si>
    <t>Æ</t>
  </si>
  <si>
    <t>ô</t>
  </si>
  <si>
    <t>ö</t>
  </si>
  <si>
    <t>ò</t>
  </si>
  <si>
    <t>û</t>
  </si>
  <si>
    <t>ù</t>
  </si>
  <si>
    <t>ÿ</t>
  </si>
  <si>
    <t>Ö</t>
  </si>
  <si>
    <t>Ü</t>
  </si>
  <si>
    <t>ø</t>
  </si>
  <si>
    <t>£</t>
  </si>
  <si>
    <t>Ø</t>
  </si>
  <si>
    <t>×</t>
  </si>
  <si>
    <t>ƒ</t>
  </si>
  <si>
    <t>á</t>
  </si>
  <si>
    <t>í</t>
  </si>
  <si>
    <t>ó</t>
  </si>
  <si>
    <t>ú</t>
  </si>
  <si>
    <t>ñ</t>
  </si>
  <si>
    <t>Ñ</t>
  </si>
  <si>
    <t>ª</t>
  </si>
  <si>
    <t>º</t>
  </si>
  <si>
    <t>¿</t>
  </si>
  <si>
    <t>®</t>
  </si>
  <si>
    <t>¬</t>
  </si>
  <si>
    <t>½</t>
  </si>
  <si>
    <t>¼</t>
  </si>
  <si>
    <t>¡</t>
  </si>
  <si>
    <t>«</t>
  </si>
  <si>
    <t>»</t>
  </si>
  <si>
    <t>░</t>
  </si>
  <si>
    <t>▒</t>
  </si>
  <si>
    <t>▓</t>
  </si>
  <si>
    <t>│</t>
  </si>
  <si>
    <t>┤</t>
  </si>
  <si>
    <t>Á</t>
  </si>
  <si>
    <t>Â</t>
  </si>
  <si>
    <t>À</t>
  </si>
  <si>
    <t>©</t>
  </si>
  <si>
    <t>╣</t>
  </si>
  <si>
    <t>║</t>
  </si>
  <si>
    <t>╗</t>
  </si>
  <si>
    <t>╝</t>
  </si>
  <si>
    <t>¢</t>
  </si>
  <si>
    <t>¥</t>
  </si>
  <si>
    <t>┐</t>
  </si>
  <si>
    <t>└</t>
  </si>
  <si>
    <t>┴</t>
  </si>
  <si>
    <t>┬</t>
  </si>
  <si>
    <t>├</t>
  </si>
  <si>
    <t>─</t>
  </si>
  <si>
    <t>┼</t>
  </si>
  <si>
    <t>ã</t>
  </si>
  <si>
    <t>Ã</t>
  </si>
  <si>
    <t>╚</t>
  </si>
  <si>
    <t>╔</t>
  </si>
  <si>
    <t>╩</t>
  </si>
  <si>
    <t>╦</t>
  </si>
  <si>
    <t>╠</t>
  </si>
  <si>
    <t>═</t>
  </si>
  <si>
    <t>╬</t>
  </si>
  <si>
    <t>¤</t>
  </si>
  <si>
    <t>ð</t>
  </si>
  <si>
    <t>Ð</t>
  </si>
  <si>
    <t>Ê</t>
  </si>
  <si>
    <t>Ë</t>
  </si>
  <si>
    <t>È</t>
  </si>
  <si>
    <t>ı</t>
  </si>
  <si>
    <t>Í</t>
  </si>
  <si>
    <t>Î</t>
  </si>
  <si>
    <t>Ï</t>
  </si>
  <si>
    <t>┘</t>
  </si>
  <si>
    <t>┌</t>
  </si>
  <si>
    <t>█</t>
  </si>
  <si>
    <t>▄</t>
  </si>
  <si>
    <t>¦</t>
  </si>
  <si>
    <t>Ì</t>
  </si>
  <si>
    <t>▀</t>
  </si>
  <si>
    <t>Ó</t>
  </si>
  <si>
    <t>ß</t>
  </si>
  <si>
    <t>Ô</t>
  </si>
  <si>
    <t>Ò</t>
  </si>
  <si>
    <t>õ</t>
  </si>
  <si>
    <t>Õ</t>
  </si>
  <si>
    <t>µ</t>
  </si>
  <si>
    <t>þ</t>
  </si>
  <si>
    <t>Þ</t>
  </si>
  <si>
    <t>Ú</t>
  </si>
  <si>
    <t>Û</t>
  </si>
  <si>
    <t>Ù</t>
  </si>
  <si>
    <t>ý</t>
  </si>
  <si>
    <t>Ý</t>
  </si>
  <si>
    <t>¯</t>
  </si>
  <si>
    <t>´</t>
  </si>
  <si>
    <t>­</t>
  </si>
  <si>
    <t>±</t>
  </si>
  <si>
    <t>‗</t>
  </si>
  <si>
    <t>¾</t>
  </si>
  <si>
    <t>÷</t>
  </si>
  <si>
    <t>¸</t>
  </si>
  <si>
    <t>°</t>
  </si>
  <si>
    <t>¨</t>
  </si>
  <si>
    <t>·</t>
  </si>
  <si>
    <t>¹</t>
  </si>
  <si>
    <t>³</t>
  </si>
  <si>
    <t> </t>
  </si>
  <si>
    <t>PERJUICIO MORAL</t>
  </si>
  <si>
    <t>LIQUIDACION TOTAL</t>
  </si>
  <si>
    <t>NUMERO SINIESTRO</t>
  </si>
  <si>
    <t>TOTAL LIQUDACION</t>
  </si>
  <si>
    <t>DAÑO EMERGENTE</t>
  </si>
  <si>
    <t>NOMBRE DEL DEMANDANTE</t>
  </si>
  <si>
    <t>EDAD AL FALLECIMIENTO</t>
  </si>
  <si>
    <t xml:space="preserve">SMLMV. AL FALLECIMEINTO </t>
  </si>
  <si>
    <t>ESPERANZA DE VIDA</t>
  </si>
  <si>
    <t>EDAD AL EVENTO</t>
  </si>
  <si>
    <t>SMLMV AL EVENTO</t>
  </si>
  <si>
    <t>DAÑO MORAL EN SMMLV</t>
  </si>
  <si>
    <t xml:space="preserve">DAÑO EMERGENTE </t>
  </si>
  <si>
    <t>FECHA NACIMIENTO LESIONADO</t>
  </si>
  <si>
    <t>SALARIO LESIONADO</t>
  </si>
  <si>
    <t>% DE PCL</t>
  </si>
  <si>
    <t xml:space="preserve">INGRESOS </t>
  </si>
  <si>
    <t>LIQUIDACIÓN MUERTE</t>
  </si>
  <si>
    <t>LIQUIDACIÓN LESIONES</t>
  </si>
  <si>
    <t>SEXO Y CONDICION</t>
  </si>
  <si>
    <t>RELACIÓN (PARENTESCO O AFINIDAD)</t>
  </si>
  <si>
    <t>DEMANDANTES O RECLAMAMTES</t>
  </si>
  <si>
    <t>LUCRO CESANTE PASADO Y FUTURO</t>
  </si>
  <si>
    <t>SALARIO BASE DESCONT. 25% MANUTENCION</t>
  </si>
  <si>
    <t>FECHA DEL EVENTO</t>
  </si>
  <si>
    <t>VIDA DE RELACION</t>
  </si>
  <si>
    <t>LESIONADO</t>
  </si>
  <si>
    <t>NUMERO PÓLIZA</t>
  </si>
  <si>
    <t>NUMERO DE PÓLIZA</t>
  </si>
  <si>
    <t>NUMERO DE SINIESTRO</t>
  </si>
  <si>
    <t xml:space="preserve">TOTAL GENERAL </t>
  </si>
  <si>
    <t xml:space="preserve">TOTAL </t>
  </si>
  <si>
    <t xml:space="preserve">LESIONADO (HIJO DE LUZ) </t>
  </si>
  <si>
    <t xml:space="preserve">JULIAN DARIO RAMIREZ SOTO </t>
  </si>
  <si>
    <t xml:space="preserve">HIJA </t>
  </si>
  <si>
    <t xml:space="preserve">ESTEFANIA CRUZ SOTO </t>
  </si>
  <si>
    <t xml:space="preserve">GABRIELA CRUZ SOTO </t>
  </si>
  <si>
    <t xml:space="preserve">COMPAÑERA PERMANENTE </t>
  </si>
  <si>
    <t xml:space="preserve">LUZ EDITH SOTO  ARENAS </t>
  </si>
  <si>
    <t xml:space="preserve">DAÑO MORAL </t>
  </si>
  <si>
    <t xml:space="preserve">LUCRO CESANTE </t>
  </si>
  <si>
    <t xml:space="preserve">EDAD AL MOMENTO DEL STRO </t>
  </si>
  <si>
    <t xml:space="preserve">CALIDAD </t>
  </si>
  <si>
    <t xml:space="preserve">RECLAMANTE </t>
  </si>
  <si>
    <t xml:space="preserve">SEGUNDA FAMILIA </t>
  </si>
  <si>
    <t xml:space="preserve">NATALY CRUZ RAMOS </t>
  </si>
  <si>
    <t xml:space="preserve">NICOLAS CRUZ RAMOS </t>
  </si>
  <si>
    <t xml:space="preserve">CAMILO CRUZ RAMOS </t>
  </si>
  <si>
    <t xml:space="preserve">EX ESPOSA </t>
  </si>
  <si>
    <t xml:space="preserve">NANCY RAMOS GARCIA </t>
  </si>
  <si>
    <t xml:space="preserve">PRIMERA FAMILIA </t>
  </si>
  <si>
    <t>51 AÑOS</t>
  </si>
  <si>
    <t xml:space="preserve">EDAD </t>
  </si>
  <si>
    <t xml:space="preserve">NORBERTO CRUZ MONROY </t>
  </si>
  <si>
    <t xml:space="preserve">FALLECIDO </t>
  </si>
  <si>
    <t>IUU930</t>
  </si>
  <si>
    <t xml:space="preserve">PLACA DEL VEHICULO </t>
  </si>
  <si>
    <t xml:space="preserve">FECHA DEL ACCIDENTE </t>
  </si>
  <si>
    <t xml:space="preserve">TASACION DEL DAÑO </t>
  </si>
  <si>
    <t>FLOR NORALVA OSORIO MARTINEZ</t>
  </si>
  <si>
    <t>NATALIA BENAVIDES OSORIO</t>
  </si>
  <si>
    <t>EDILBERTO OSORIO BOTERO</t>
  </si>
  <si>
    <t>CARLOTA MARTINEZ DE OSORIO</t>
  </si>
  <si>
    <t>EDILBERTO OSORIO MARTINEZ</t>
  </si>
  <si>
    <t>CARMEN CECILIA OSORIO MARTINEZ</t>
  </si>
  <si>
    <t>AUGUSTO OSORIO MARTINEZ</t>
  </si>
  <si>
    <t>JOSE YSNIEL OSORIO MARTINEZ</t>
  </si>
  <si>
    <t>JHON JAIRO OSORIO MARTINEZ</t>
  </si>
  <si>
    <t>AMPARO OSORIO MARTINEZ</t>
  </si>
  <si>
    <t>JHOAN JASEPH BLANCO OSORIO</t>
  </si>
  <si>
    <t>LAURA CAMILA BLANCO OSORIO</t>
  </si>
  <si>
    <t>PAULA ANDREA TOLOSA OSORIO</t>
  </si>
  <si>
    <t>KAREN MILENA OSORIO NIEBLES</t>
  </si>
  <si>
    <t>ERIS VIVIANA TOLOSA OSORIO</t>
  </si>
  <si>
    <t>DANNA SOFIA TOLOSA OSORIO</t>
  </si>
  <si>
    <t>TASACION DAÑO MORAL</t>
  </si>
  <si>
    <t>LESIONADA</t>
  </si>
  <si>
    <t>IPC FINAL</t>
  </si>
  <si>
    <t>PCL</t>
  </si>
  <si>
    <t>IPC INICIAL</t>
  </si>
  <si>
    <t>VICTIMAS DIRECTAS /VICTIMAS INDIRECTAS 1°CONSAGUINIDAD  Y DVR</t>
  </si>
  <si>
    <t xml:space="preserve">SEGUNDO GRADO DE CONSAGUINIDAD </t>
  </si>
  <si>
    <t xml:space="preserve">TERCER GRADO DE CONSAGUINIDAD </t>
  </si>
  <si>
    <t>DAÑO EN VIDA RELACION VICTIMA DIRECTA</t>
  </si>
  <si>
    <t>TOPE</t>
  </si>
  <si>
    <t>valor indemnizacion</t>
  </si>
  <si>
    <t>valor presente</t>
  </si>
  <si>
    <t>Valor presente</t>
  </si>
  <si>
    <t>calidad / parentesco</t>
  </si>
  <si>
    <t>valor a indemnizar</t>
  </si>
  <si>
    <t>Victima directa D.V.R</t>
  </si>
  <si>
    <t>TOTAL</t>
  </si>
  <si>
    <t>LUCRO CESANTE</t>
  </si>
  <si>
    <t>valor a conciliar</t>
  </si>
  <si>
    <t>501511402226462 exp 8 LMP</t>
  </si>
  <si>
    <t>ADRES 10042025 ACTIVO CAJA DE COMPENSACION FAMILIAR COMFENALCO CONTRIBUTIVO FECHA DE AFICLIACION EFECTIVA 01022022 BENEFICIARIO</t>
  </si>
  <si>
    <t>YEILY ALEJANDRA ALAGUEÑO RIASCOS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</si>
</sst>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_-&quot;$&quot;\ * #,##0.00_-;\-&quot;$&quot;\ * #,##0.00_-;_-&quot;$&quot;\ * &quot;-&quot;??_-;_-@_-"/>
    <numFmt numFmtId="165" formatCode="_(&quot;$&quot;\ * #,##0.00_);_(&quot;$&quot;\ * \(#,##0.00\);_(&quot;$&quot;\ * &quot;-&quot;??_);_(@_)"/>
    <numFmt numFmtId="166" formatCode="_(&quot;$&quot;\ * #,##0_);_(&quot;$&quot;\ * \(#,##0\);_(&quot;$&quot;\ * &quot;-&quot;??_);_(@_)"/>
    <numFmt numFmtId="167" formatCode="#,##0.0"/>
    <numFmt numFmtId="168" formatCode="#,##0.000000"/>
    <numFmt numFmtId="169" formatCode="0.000000"/>
    <numFmt numFmtId="170" formatCode="0.0"/>
    <numFmt numFmtId="171" formatCode="_(&quot;$&quot;\ * #,##0_);_(&quot;$&quot;\ * \(#,##0\);_(&quot;$&quot;\ * &quot;-&quot;_);_(@_)"/>
    <numFmt numFmtId="172" formatCode="_(&quot;$&quot;\ * #,##0.0000_);_(&quot;$&quot;\ * \(#,##0.0000\);_(&quot;$&quot;\ * &quot;-&quot;??_);_(@_)"/>
    <numFmt numFmtId="173" formatCode="_-&quot;$&quot;* #,##0_-;\-&quot;$&quot;* #,##0_-;_-&quot;$&quot;* &quot;-&quot;??_-;_-@_-"/>
    <numFmt numFmtId="174" formatCode="_-&quot;$&quot;\ * #,##0_-;\-&quot;$&quot;\ * #,##0_-;_-&quot;$&quot;\ * &quot;-&quot;??_-;_-@_-"/>
  </numFmts>
  <fonts count="5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6"/>
      <color theme="1"/>
      <name val="Calibri"/>
      <family val="2"/>
      <scheme val="minor"/>
    </font>
    <font>
      <sz val="8"/>
      <color theme="1"/>
      <name val="Calibri"/>
      <family val="2"/>
      <scheme val="minor"/>
    </font>
    <font>
      <sz val="1"/>
      <color theme="0"/>
      <name val="Calibri"/>
      <family val="2"/>
      <scheme val="minor"/>
    </font>
    <font>
      <sz val="8"/>
      <color theme="1"/>
      <name val="Arial"/>
      <family val="2"/>
    </font>
    <font>
      <b/>
      <sz val="8"/>
      <color theme="1"/>
      <name val="Calibri"/>
      <family val="2"/>
      <scheme val="minor"/>
    </font>
    <font>
      <sz val="8"/>
      <name val="Calibri"/>
      <family val="2"/>
      <scheme val="minor"/>
    </font>
    <font>
      <b/>
      <sz val="10"/>
      <color theme="1"/>
      <name val="Arial"/>
      <family val="2"/>
    </font>
    <font>
      <b/>
      <sz val="8"/>
      <color theme="1"/>
      <name val="Arial"/>
      <family val="2"/>
    </font>
    <font>
      <sz val="9"/>
      <name val="Calibri"/>
      <family val="2"/>
      <scheme val="minor"/>
    </font>
    <font>
      <sz val="8"/>
      <name val="Arial"/>
      <family val="2"/>
    </font>
    <font>
      <b/>
      <sz val="8"/>
      <name val="Arial"/>
      <family val="2"/>
    </font>
    <font>
      <sz val="8"/>
      <color theme="0" tint="-0.14999847407452621"/>
      <name val="Arial"/>
      <family val="2"/>
    </font>
    <font>
      <b/>
      <sz val="7"/>
      <color theme="1"/>
      <name val="Arial"/>
      <family val="2"/>
    </font>
    <font>
      <b/>
      <sz val="6"/>
      <color theme="1"/>
      <name val="Arial"/>
      <family val="2"/>
    </font>
    <font>
      <sz val="7"/>
      <color theme="1"/>
      <name val="Arial"/>
      <family val="2"/>
    </font>
    <font>
      <sz val="7"/>
      <color theme="1"/>
      <name val="Calibri"/>
      <family val="2"/>
      <scheme val="minor"/>
    </font>
    <font>
      <sz val="11"/>
      <color theme="0"/>
      <name val="Calibri"/>
      <family val="2"/>
      <scheme val="minor"/>
    </font>
    <font>
      <sz val="10"/>
      <color theme="0"/>
      <name val="Calibri"/>
      <family val="2"/>
      <scheme val="minor"/>
    </font>
    <font>
      <sz val="8"/>
      <color theme="0"/>
      <name val="Calibri"/>
      <family val="2"/>
      <scheme val="minor"/>
    </font>
    <font>
      <sz val="1"/>
      <name val="Calibri"/>
      <family val="2"/>
      <scheme val="minor"/>
    </font>
    <font>
      <b/>
      <sz val="16"/>
      <name val="Calibri"/>
      <family val="2"/>
      <scheme val="minor"/>
    </font>
    <font>
      <sz val="9"/>
      <color theme="0"/>
      <name val="Calibri"/>
      <family val="2"/>
      <scheme val="minor"/>
    </font>
    <font>
      <sz val="1"/>
      <color theme="1"/>
      <name val="Calibri"/>
      <family val="2"/>
      <scheme val="minor"/>
    </font>
    <font>
      <sz val="9"/>
      <color theme="1"/>
      <name val="Calibri"/>
      <family val="2"/>
      <scheme val="minor"/>
    </font>
    <font>
      <b/>
      <sz val="16"/>
      <color theme="0"/>
      <name val="Calibri"/>
      <family val="2"/>
      <scheme val="minor"/>
    </font>
    <font>
      <sz val="9"/>
      <color theme="0"/>
      <name val="Times New Roman"/>
      <family val="1"/>
    </font>
    <font>
      <b/>
      <sz val="8"/>
      <color theme="0"/>
      <name val="Calibri"/>
      <family val="2"/>
      <scheme val="minor"/>
    </font>
    <font>
      <sz val="11"/>
      <color rgb="FFFF0000"/>
      <name val="Calibri"/>
      <family val="2"/>
      <scheme val="minor"/>
    </font>
    <font>
      <sz val="9"/>
      <color rgb="FFFF0000"/>
      <name val="Calibri"/>
      <family val="2"/>
      <scheme val="minor"/>
    </font>
    <font>
      <b/>
      <sz val="11"/>
      <color theme="1"/>
      <name val="Calibri"/>
      <family val="2"/>
      <scheme val="minor"/>
    </font>
    <font>
      <sz val="11"/>
      <name val="Calibri"/>
      <family val="2"/>
      <scheme val="minor"/>
    </font>
    <font>
      <sz val="11"/>
      <name val="Arial"/>
      <family val="2"/>
    </font>
    <font>
      <sz val="10"/>
      <name val="Calibri"/>
      <family val="2"/>
      <scheme val="minor"/>
    </font>
    <font>
      <b/>
      <sz val="8"/>
      <name val="Calibri"/>
      <family val="2"/>
      <scheme val="minor"/>
    </font>
    <font>
      <sz val="10"/>
      <name val="Times New Roman"/>
      <family val="1"/>
    </font>
    <font>
      <sz val="11"/>
      <name val="Kristen ITC"/>
      <family val="4"/>
    </font>
    <font>
      <sz val="9"/>
      <name val="Arial"/>
      <family val="2"/>
    </font>
    <font>
      <b/>
      <sz val="11"/>
      <color rgb="FFC00000"/>
      <name val="Calibri"/>
      <family val="2"/>
      <scheme val="minor"/>
    </font>
    <font>
      <b/>
      <sz val="24"/>
      <color rgb="FFC00000"/>
      <name val="Calibri"/>
      <family val="2"/>
      <scheme val="minor"/>
    </font>
    <font>
      <sz val="12"/>
      <color theme="1"/>
      <name val="Calibri"/>
      <family val="2"/>
      <scheme val="minor"/>
    </font>
    <font>
      <sz val="10"/>
      <color rgb="FFFF0000"/>
      <name val="Calibri"/>
      <family val="2"/>
      <scheme val="minor"/>
    </font>
    <font>
      <sz val="12"/>
      <color rgb="FFFF0000"/>
      <name val="Calibri"/>
      <family val="2"/>
      <scheme val="minor"/>
    </font>
    <font>
      <sz val="12"/>
      <color theme="0"/>
      <name val="Calibri"/>
      <family val="2"/>
      <scheme val="minor"/>
    </font>
    <font>
      <b/>
      <sz val="12"/>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66FFFF"/>
        <bgColor indexed="64"/>
      </patternFill>
    </fill>
    <fill>
      <patternFill patternType="solid">
        <fgColor rgb="FF00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164" fontId="5" fillId="0" borderId="0" applyFont="0" applyFill="0" applyBorder="0" applyAlignment="0" applyProtection="0"/>
    <xf numFmtId="9" fontId="5"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343">
    <xf numFmtId="0" fontId="0" fillId="0" borderId="0" xfId="0"/>
    <xf numFmtId="0" fontId="8" fillId="2" borderId="0" xfId="0" applyFont="1" applyFill="1"/>
    <xf numFmtId="0" fontId="11" fillId="2" borderId="0" xfId="0" applyFont="1" applyFill="1"/>
    <xf numFmtId="0" fontId="14" fillId="2" borderId="0" xfId="0" applyFont="1" applyFill="1"/>
    <xf numFmtId="0" fontId="5" fillId="2" borderId="0" xfId="0" applyFont="1" applyFill="1"/>
    <xf numFmtId="0" fontId="0" fillId="2" borderId="0" xfId="0" applyFill="1"/>
    <xf numFmtId="0" fontId="6" fillId="2" borderId="0" xfId="0"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horizontal="center" vertical="center"/>
    </xf>
    <xf numFmtId="0" fontId="9" fillId="2" borderId="0" xfId="0" applyFont="1" applyFill="1"/>
    <xf numFmtId="0" fontId="15" fillId="2" borderId="0" xfId="0" applyFont="1" applyFill="1"/>
    <xf numFmtId="14" fontId="9" fillId="2" borderId="0" xfId="0" applyNumberFormat="1" applyFont="1" applyFill="1" applyAlignment="1">
      <alignment horizontal="center"/>
    </xf>
    <xf numFmtId="0" fontId="9" fillId="2" borderId="0" xfId="0" applyFont="1" applyFill="1" applyAlignment="1">
      <alignment vertical="center"/>
    </xf>
    <xf numFmtId="166" fontId="9" fillId="2" borderId="0" xfId="1" applyNumberFormat="1" applyFont="1" applyFill="1" applyBorder="1" applyAlignment="1">
      <alignment vertical="center"/>
    </xf>
    <xf numFmtId="0" fontId="9" fillId="2" borderId="0" xfId="0" applyFont="1" applyFill="1" applyAlignment="1">
      <alignment wrapText="1"/>
    </xf>
    <xf numFmtId="0" fontId="9" fillId="2" borderId="0" xfId="0" applyFont="1" applyFill="1" applyAlignment="1">
      <alignment horizontal="center"/>
    </xf>
    <xf numFmtId="3" fontId="9" fillId="2" borderId="0" xfId="1" applyNumberFormat="1" applyFont="1" applyFill="1" applyBorder="1" applyAlignment="1">
      <alignment horizontal="center"/>
    </xf>
    <xf numFmtId="0" fontId="9" fillId="2" borderId="0" xfId="0" applyFont="1" applyFill="1" applyAlignment="1">
      <alignment vertical="center" wrapText="1"/>
    </xf>
    <xf numFmtId="0" fontId="9" fillId="0" borderId="1" xfId="0" applyFont="1" applyBorder="1" applyAlignment="1" applyProtection="1">
      <alignment horizontal="center"/>
      <protection locked="0"/>
    </xf>
    <xf numFmtId="167" fontId="9" fillId="2" borderId="0" xfId="1" applyNumberFormat="1" applyFont="1" applyFill="1" applyBorder="1" applyAlignment="1">
      <alignment horizontal="center"/>
    </xf>
    <xf numFmtId="3" fontId="9" fillId="0" borderId="1" xfId="1" applyNumberFormat="1" applyFont="1" applyFill="1" applyBorder="1" applyAlignment="1" applyProtection="1">
      <alignment horizontal="center"/>
      <protection locked="0"/>
    </xf>
    <xf numFmtId="0" fontId="17" fillId="2" borderId="0" xfId="0" applyFont="1" applyFill="1" applyAlignment="1">
      <alignment horizontal="center" vertical="center"/>
    </xf>
    <xf numFmtId="4" fontId="9" fillId="0" borderId="1" xfId="1" applyNumberFormat="1" applyFont="1" applyFill="1" applyBorder="1" applyAlignment="1" applyProtection="1">
      <alignment horizontal="center"/>
      <protection locked="0"/>
    </xf>
    <xf numFmtId="0" fontId="13" fillId="2" borderId="0" xfId="0" applyFont="1" applyFill="1" applyAlignment="1">
      <alignment wrapText="1"/>
    </xf>
    <xf numFmtId="0" fontId="9" fillId="2" borderId="0" xfId="0" applyFont="1" applyFill="1" applyAlignment="1">
      <alignment horizontal="left"/>
    </xf>
    <xf numFmtId="0" fontId="9" fillId="2" borderId="0" xfId="0" applyFont="1" applyFill="1" applyAlignment="1" applyProtection="1">
      <alignment horizontal="center" vertical="center"/>
      <protection locked="0"/>
    </xf>
    <xf numFmtId="14" fontId="15" fillId="2" borderId="0" xfId="0" applyNumberFormat="1" applyFont="1" applyFill="1" applyAlignment="1">
      <alignment horizontal="center" vertical="center" wrapText="1"/>
    </xf>
    <xf numFmtId="170" fontId="9" fillId="2" borderId="0" xfId="1" applyNumberFormat="1" applyFont="1" applyFill="1" applyBorder="1" applyAlignment="1" applyProtection="1">
      <alignment horizontal="center" vertical="center"/>
      <protection locked="0"/>
    </xf>
    <xf numFmtId="14" fontId="9" fillId="2" borderId="0" xfId="0" applyNumberFormat="1" applyFont="1" applyFill="1"/>
    <xf numFmtId="166" fontId="9" fillId="2" borderId="0" xfId="1" applyNumberFormat="1" applyFont="1" applyFill="1" applyBorder="1" applyAlignment="1" applyProtection="1">
      <alignment horizontal="right" vertical="center"/>
    </xf>
    <xf numFmtId="0" fontId="13" fillId="2" borderId="0" xfId="0" applyFont="1" applyFill="1" applyAlignment="1">
      <alignment vertical="center"/>
    </xf>
    <xf numFmtId="166" fontId="9" fillId="0" borderId="1" xfId="1" applyNumberFormat="1" applyFont="1" applyFill="1" applyBorder="1" applyAlignment="1" applyProtection="1">
      <alignment horizontal="right" vertical="center"/>
    </xf>
    <xf numFmtId="0" fontId="9" fillId="2" borderId="0" xfId="0" applyFont="1" applyFill="1" applyAlignment="1" applyProtection="1">
      <alignment horizontal="center"/>
      <protection locked="0"/>
    </xf>
    <xf numFmtId="0" fontId="7" fillId="2" borderId="0" xfId="0" applyFont="1" applyFill="1" applyAlignment="1">
      <alignment horizontal="center" vertical="center"/>
    </xf>
    <xf numFmtId="14" fontId="9" fillId="2" borderId="0" xfId="0" applyNumberFormat="1" applyFont="1" applyFill="1" applyProtection="1">
      <protection locked="0"/>
    </xf>
    <xf numFmtId="166" fontId="9" fillId="2" borderId="0" xfId="1" applyNumberFormat="1" applyFont="1" applyFill="1" applyBorder="1" applyAlignment="1" applyProtection="1">
      <alignment vertical="center"/>
    </xf>
    <xf numFmtId="3" fontId="9" fillId="2" borderId="0" xfId="1" applyNumberFormat="1" applyFont="1" applyFill="1" applyBorder="1" applyAlignment="1" applyProtection="1">
      <alignment horizontal="center"/>
    </xf>
    <xf numFmtId="167" fontId="9" fillId="2" borderId="0" xfId="1" applyNumberFormat="1" applyFont="1" applyFill="1" applyBorder="1" applyAlignment="1" applyProtection="1">
      <alignment horizontal="center"/>
    </xf>
    <xf numFmtId="3" fontId="9" fillId="2" borderId="1" xfId="1" applyNumberFormat="1" applyFont="1" applyFill="1" applyBorder="1" applyAlignment="1" applyProtection="1">
      <alignment horizontal="center"/>
      <protection locked="0"/>
    </xf>
    <xf numFmtId="0" fontId="9" fillId="2" borderId="0" xfId="0" applyFont="1" applyFill="1" applyAlignment="1">
      <alignment horizontal="left" wrapText="1"/>
    </xf>
    <xf numFmtId="167" fontId="9" fillId="2" borderId="0" xfId="1" applyNumberFormat="1" applyFont="1" applyFill="1" applyBorder="1" applyAlignment="1" applyProtection="1">
      <alignment horizontal="center"/>
      <protection locked="0"/>
    </xf>
    <xf numFmtId="0" fontId="13" fillId="2" borderId="0" xfId="0" applyFont="1" applyFill="1" applyAlignment="1">
      <alignment horizontal="center" vertical="center" wrapText="1"/>
    </xf>
    <xf numFmtId="0" fontId="9" fillId="2" borderId="0" xfId="0" applyFont="1" applyFill="1" applyAlignment="1">
      <alignment horizontal="center" vertical="center" wrapText="1"/>
    </xf>
    <xf numFmtId="0" fontId="13" fillId="2" borderId="0" xfId="0" applyFont="1" applyFill="1" applyAlignment="1">
      <alignment horizontal="center" wrapText="1"/>
    </xf>
    <xf numFmtId="166" fontId="9" fillId="2" borderId="0" xfId="1" applyNumberFormat="1" applyFont="1" applyFill="1" applyBorder="1" applyAlignment="1" applyProtection="1">
      <alignment horizontal="center" vertical="center"/>
    </xf>
    <xf numFmtId="166" fontId="9" fillId="2" borderId="1" xfId="1" applyNumberFormat="1" applyFont="1" applyFill="1" applyBorder="1" applyAlignment="1" applyProtection="1">
      <alignment horizontal="right" vertical="center"/>
    </xf>
    <xf numFmtId="0" fontId="7" fillId="2" borderId="0" xfId="0" applyFont="1" applyFill="1"/>
    <xf numFmtId="0" fontId="10" fillId="2" borderId="0" xfId="0" applyFont="1" applyFill="1" applyAlignment="1">
      <alignment vertical="center"/>
    </xf>
    <xf numFmtId="0" fontId="10" fillId="2" borderId="0" xfId="0" applyFont="1" applyFill="1" applyAlignment="1">
      <alignment horizontal="center" vertical="center"/>
    </xf>
    <xf numFmtId="0" fontId="7" fillId="2" borderId="0" xfId="0" applyFont="1" applyFill="1" applyAlignment="1">
      <alignment horizontal="center"/>
    </xf>
    <xf numFmtId="166" fontId="13" fillId="2" borderId="0" xfId="1" applyNumberFormat="1" applyFont="1" applyFill="1" applyBorder="1" applyAlignment="1" applyProtection="1">
      <alignment vertical="center" wrapText="1"/>
    </xf>
    <xf numFmtId="9" fontId="9" fillId="2" borderId="0" xfId="2"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14" fontId="9" fillId="2" borderId="0" xfId="0" applyNumberFormat="1" applyFont="1" applyFill="1" applyAlignment="1" applyProtection="1">
      <alignment horizontal="center"/>
      <protection locked="0"/>
    </xf>
    <xf numFmtId="14" fontId="9" fillId="0" borderId="7" xfId="0" applyNumberFormat="1" applyFont="1" applyBorder="1" applyAlignment="1" applyProtection="1">
      <alignment horizontal="center"/>
      <protection locked="0"/>
    </xf>
    <xf numFmtId="0" fontId="18" fillId="2" borderId="0" xfId="0" applyFont="1" applyFill="1" applyAlignment="1">
      <alignment horizontal="center" vertical="center" wrapText="1"/>
    </xf>
    <xf numFmtId="166" fontId="9" fillId="2" borderId="0" xfId="0" applyNumberFormat="1" applyFont="1" applyFill="1" applyAlignment="1">
      <alignment horizontal="center"/>
    </xf>
    <xf numFmtId="0" fontId="23" fillId="2" borderId="0" xfId="0" applyFont="1" applyFill="1"/>
    <xf numFmtId="0" fontId="23" fillId="3" borderId="0" xfId="0" applyFont="1" applyFill="1"/>
    <xf numFmtId="0" fontId="24" fillId="2" borderId="0" xfId="0" applyFont="1" applyFill="1"/>
    <xf numFmtId="3" fontId="24" fillId="2" borderId="0" xfId="0" applyNumberFormat="1" applyFont="1" applyFill="1"/>
    <xf numFmtId="168" fontId="24" fillId="2" borderId="0" xfId="0" applyNumberFormat="1" applyFont="1" applyFill="1"/>
    <xf numFmtId="169" fontId="24" fillId="2" borderId="0" xfId="0" applyNumberFormat="1" applyFont="1" applyFill="1"/>
    <xf numFmtId="166" fontId="23" fillId="2" borderId="0" xfId="1" applyNumberFormat="1" applyFont="1" applyFill="1" applyBorder="1" applyProtection="1"/>
    <xf numFmtId="170" fontId="23" fillId="2" borderId="0" xfId="0" applyNumberFormat="1" applyFont="1" applyFill="1"/>
    <xf numFmtId="0" fontId="23" fillId="3" borderId="0" xfId="0" applyFont="1" applyFill="1" applyAlignment="1">
      <alignment wrapText="1"/>
    </xf>
    <xf numFmtId="0" fontId="22" fillId="3" borderId="0" xfId="0" applyFont="1" applyFill="1"/>
    <xf numFmtId="0" fontId="22" fillId="2" borderId="0" xfId="0" applyFont="1" applyFill="1"/>
    <xf numFmtId="3" fontId="22" fillId="2" borderId="0" xfId="0" applyNumberFormat="1" applyFont="1" applyFill="1"/>
    <xf numFmtId="168" fontId="22" fillId="2" borderId="0" xfId="0" applyNumberFormat="1" applyFont="1" applyFill="1"/>
    <xf numFmtId="169" fontId="22" fillId="2" borderId="0" xfId="0" applyNumberFormat="1" applyFont="1" applyFill="1"/>
    <xf numFmtId="0" fontId="23" fillId="2" borderId="0" xfId="0" applyFont="1" applyFill="1" applyAlignment="1">
      <alignment wrapText="1"/>
    </xf>
    <xf numFmtId="1" fontId="15" fillId="0" borderId="1" xfId="0" applyNumberFormat="1" applyFont="1" applyBorder="1" applyAlignment="1" applyProtection="1">
      <alignment horizontal="center"/>
      <protection locked="0"/>
    </xf>
    <xf numFmtId="0" fontId="25" fillId="2" borderId="0" xfId="0" applyFont="1" applyFill="1"/>
    <xf numFmtId="0" fontId="26" fillId="2" borderId="0" xfId="0" applyFont="1" applyFill="1" applyAlignment="1">
      <alignment horizontal="center" vertical="center"/>
    </xf>
    <xf numFmtId="166" fontId="15" fillId="2" borderId="0" xfId="1" applyNumberFormat="1" applyFont="1" applyFill="1" applyBorder="1" applyAlignment="1">
      <alignment vertical="center"/>
    </xf>
    <xf numFmtId="0" fontId="15" fillId="2" borderId="0" xfId="0" applyFont="1" applyFill="1" applyAlignment="1">
      <alignment horizontal="center" vertical="center"/>
    </xf>
    <xf numFmtId="166" fontId="15" fillId="2" borderId="0" xfId="1" applyNumberFormat="1" applyFont="1" applyFill="1" applyBorder="1" applyAlignment="1" applyProtection="1">
      <alignment horizontal="right" vertical="center"/>
    </xf>
    <xf numFmtId="0" fontId="15" fillId="2" borderId="0" xfId="0" applyFont="1" applyFill="1" applyAlignment="1">
      <alignment vertical="center"/>
    </xf>
    <xf numFmtId="166" fontId="15" fillId="2" borderId="1" xfId="1" applyNumberFormat="1" applyFont="1" applyFill="1" applyBorder="1" applyAlignment="1" applyProtection="1">
      <alignment horizontal="right" vertical="center"/>
    </xf>
    <xf numFmtId="166" fontId="15" fillId="0" borderId="1" xfId="1" applyNumberFormat="1" applyFont="1" applyFill="1" applyBorder="1" applyAlignment="1" applyProtection="1">
      <alignment horizontal="right" vertical="center"/>
    </xf>
    <xf numFmtId="0" fontId="27" fillId="2" borderId="0" xfId="0" applyFont="1" applyFill="1"/>
    <xf numFmtId="14" fontId="9" fillId="0" borderId="1" xfId="0" applyNumberFormat="1" applyFont="1" applyBorder="1" applyAlignment="1" applyProtection="1">
      <alignment horizontal="center"/>
      <protection locked="0"/>
    </xf>
    <xf numFmtId="0" fontId="0" fillId="2" borderId="0" xfId="0" applyFill="1" applyAlignment="1">
      <alignment wrapText="1"/>
    </xf>
    <xf numFmtId="0" fontId="0" fillId="3" borderId="0" xfId="0" applyFill="1"/>
    <xf numFmtId="0" fontId="4" fillId="2" borderId="0" xfId="0" applyFont="1" applyFill="1"/>
    <xf numFmtId="1" fontId="9" fillId="0" borderId="1" xfId="0" applyNumberFormat="1" applyFont="1" applyBorder="1" applyAlignment="1" applyProtection="1">
      <alignment horizontal="center"/>
      <protection locked="0"/>
    </xf>
    <xf numFmtId="166" fontId="0" fillId="2" borderId="0" xfId="1" applyNumberFormat="1" applyFont="1" applyFill="1" applyBorder="1" applyAlignment="1" applyProtection="1">
      <alignment vertical="center"/>
    </xf>
    <xf numFmtId="0" fontId="0" fillId="2" borderId="0" xfId="0" applyFill="1" applyAlignment="1">
      <alignment vertical="center" wrapText="1"/>
    </xf>
    <xf numFmtId="0" fontId="28" fillId="2" borderId="0" xfId="0" applyFont="1" applyFill="1"/>
    <xf numFmtId="0" fontId="29" fillId="2" borderId="0" xfId="0" applyFont="1" applyFill="1"/>
    <xf numFmtId="166" fontId="0" fillId="2" borderId="0" xfId="1" applyNumberFormat="1" applyFont="1" applyFill="1" applyBorder="1" applyAlignment="1">
      <alignment vertical="center"/>
    </xf>
    <xf numFmtId="0" fontId="0" fillId="2" borderId="0" xfId="0" applyFill="1" applyAlignment="1">
      <alignment horizontal="center" vertical="center"/>
    </xf>
    <xf numFmtId="166" fontId="0" fillId="2" borderId="0" xfId="1" applyNumberFormat="1" applyFont="1" applyFill="1" applyBorder="1" applyAlignment="1" applyProtection="1">
      <alignment horizontal="right" vertical="center"/>
    </xf>
    <xf numFmtId="0" fontId="0" fillId="2" borderId="0" xfId="0" applyFill="1" applyAlignment="1">
      <alignment vertical="center"/>
    </xf>
    <xf numFmtId="0" fontId="30" fillId="2" borderId="0" xfId="0" applyFont="1" applyFill="1" applyAlignment="1">
      <alignment vertical="center"/>
    </xf>
    <xf numFmtId="166" fontId="23" fillId="2" borderId="0" xfId="1" applyNumberFormat="1" applyFont="1" applyFill="1" applyBorder="1" applyAlignment="1">
      <alignment vertical="center"/>
    </xf>
    <xf numFmtId="3" fontId="27" fillId="2" borderId="0" xfId="0" applyNumberFormat="1" applyFont="1" applyFill="1"/>
    <xf numFmtId="166" fontId="23" fillId="2" borderId="0" xfId="1" applyNumberFormat="1" applyFont="1" applyFill="1" applyBorder="1" applyAlignment="1" applyProtection="1">
      <alignment vertical="center"/>
    </xf>
    <xf numFmtId="0" fontId="23" fillId="2" borderId="0" xfId="0" applyFont="1" applyFill="1" applyAlignment="1">
      <alignment vertical="center" wrapText="1"/>
    </xf>
    <xf numFmtId="0" fontId="27" fillId="2" borderId="0" xfId="0" applyFont="1" applyFill="1" applyAlignment="1">
      <alignment horizontal="right"/>
    </xf>
    <xf numFmtId="0" fontId="31" fillId="2" borderId="0" xfId="0" applyFont="1" applyFill="1" applyAlignment="1">
      <alignment vertical="center" wrapText="1"/>
    </xf>
    <xf numFmtId="0" fontId="23" fillId="2" borderId="0" xfId="0" applyFont="1" applyFill="1" applyAlignment="1">
      <alignment horizontal="center" vertical="center"/>
    </xf>
    <xf numFmtId="0" fontId="23" fillId="2" borderId="0" xfId="0" applyFont="1" applyFill="1" applyAlignment="1">
      <alignment vertical="center"/>
    </xf>
    <xf numFmtId="166" fontId="23" fillId="2" borderId="0" xfId="1" applyNumberFormat="1" applyFont="1" applyFill="1" applyBorder="1" applyAlignment="1" applyProtection="1">
      <alignment horizontal="right" vertical="center"/>
    </xf>
    <xf numFmtId="166" fontId="24" fillId="2" borderId="0" xfId="1" applyNumberFormat="1" applyFont="1" applyFill="1" applyBorder="1"/>
    <xf numFmtId="170" fontId="24" fillId="2" borderId="0" xfId="0" applyNumberFormat="1" applyFont="1" applyFill="1"/>
    <xf numFmtId="0" fontId="27" fillId="2" borderId="0" xfId="0" applyFont="1" applyFill="1" applyAlignment="1">
      <alignment vertical="center" wrapText="1"/>
    </xf>
    <xf numFmtId="0" fontId="24" fillId="2" borderId="0" xfId="0" applyFont="1" applyFill="1" applyAlignment="1">
      <alignment wrapText="1"/>
    </xf>
    <xf numFmtId="166" fontId="24" fillId="2" borderId="0" xfId="0" applyNumberFormat="1" applyFont="1" applyFill="1"/>
    <xf numFmtId="172" fontId="24" fillId="2" borderId="0" xfId="0" applyNumberFormat="1" applyFont="1" applyFill="1"/>
    <xf numFmtId="0" fontId="24" fillId="2" borderId="0" xfId="0" applyFont="1" applyFill="1" applyAlignment="1">
      <alignment horizontal="center" vertical="center"/>
    </xf>
    <xf numFmtId="0" fontId="23" fillId="2" borderId="0" xfId="0" applyFont="1" applyFill="1" applyAlignment="1" applyProtection="1">
      <alignment horizontal="center"/>
      <protection locked="0"/>
    </xf>
    <xf numFmtId="14" fontId="23" fillId="2" borderId="0" xfId="0" applyNumberFormat="1" applyFont="1" applyFill="1" applyProtection="1">
      <protection locked="0"/>
    </xf>
    <xf numFmtId="166" fontId="23" fillId="2" borderId="0" xfId="1" applyNumberFormat="1" applyFont="1" applyFill="1" applyBorder="1" applyAlignment="1">
      <alignment horizontal="right" vertical="center"/>
    </xf>
    <xf numFmtId="166" fontId="24" fillId="2" borderId="0" xfId="1" applyNumberFormat="1" applyFont="1" applyFill="1" applyBorder="1" applyAlignment="1">
      <alignment horizontal="right" vertical="center"/>
    </xf>
    <xf numFmtId="0" fontId="24" fillId="2" borderId="0" xfId="0" applyFont="1" applyFill="1" applyAlignment="1" applyProtection="1">
      <alignment horizontal="center"/>
      <protection locked="0"/>
    </xf>
    <xf numFmtId="14" fontId="24" fillId="2" borderId="0" xfId="0" applyNumberFormat="1" applyFont="1" applyFill="1" applyProtection="1">
      <protection locked="0"/>
    </xf>
    <xf numFmtId="0" fontId="32" fillId="2" borderId="0" xfId="0" applyFont="1" applyFill="1"/>
    <xf numFmtId="166" fontId="24" fillId="2" borderId="0" xfId="0" applyNumberFormat="1" applyFont="1" applyFill="1" applyAlignment="1">
      <alignment wrapText="1"/>
    </xf>
    <xf numFmtId="14" fontId="24" fillId="2" borderId="0" xfId="0" applyNumberFormat="1" applyFont="1" applyFill="1"/>
    <xf numFmtId="49" fontId="24" fillId="2" borderId="0" xfId="0" applyNumberFormat="1" applyFont="1" applyFill="1"/>
    <xf numFmtId="0" fontId="3" fillId="3" borderId="0" xfId="0" applyFont="1" applyFill="1"/>
    <xf numFmtId="0" fontId="3" fillId="2" borderId="0" xfId="0" applyFont="1" applyFill="1"/>
    <xf numFmtId="0" fontId="0" fillId="2" borderId="0" xfId="0" applyFill="1" applyAlignment="1" applyProtection="1">
      <alignment horizontal="center" vertical="center"/>
      <protection locked="0"/>
    </xf>
    <xf numFmtId="166" fontId="0" fillId="2" borderId="0" xfId="1" applyNumberFormat="1" applyFont="1" applyFill="1" applyBorder="1" applyAlignment="1" applyProtection="1">
      <alignment horizontal="center" vertical="center"/>
    </xf>
    <xf numFmtId="166" fontId="7" fillId="2" borderId="0" xfId="1" applyNumberFormat="1" applyFont="1" applyFill="1" applyBorder="1" applyAlignment="1">
      <alignment horizontal="right" vertical="center"/>
    </xf>
    <xf numFmtId="0" fontId="7" fillId="2" borderId="0" xfId="0" applyFont="1" applyFill="1" applyAlignment="1">
      <alignment wrapText="1"/>
    </xf>
    <xf numFmtId="166" fontId="7" fillId="2" borderId="0" xfId="0" applyNumberFormat="1" applyFont="1" applyFill="1"/>
    <xf numFmtId="3" fontId="7" fillId="2" borderId="0" xfId="0" applyNumberFormat="1" applyFont="1" applyFill="1"/>
    <xf numFmtId="0" fontId="28" fillId="0" borderId="0" xfId="0" applyFont="1"/>
    <xf numFmtId="0" fontId="34" fillId="2" borderId="0" xfId="0" applyFont="1" applyFill="1"/>
    <xf numFmtId="0" fontId="33" fillId="2" borderId="0" xfId="0" applyFont="1" applyFill="1"/>
    <xf numFmtId="1" fontId="34" fillId="2" borderId="0" xfId="0" applyNumberFormat="1" applyFont="1" applyFill="1"/>
    <xf numFmtId="0" fontId="34" fillId="2" borderId="0" xfId="0" applyFont="1" applyFill="1" applyAlignment="1">
      <alignment vertical="center" wrapText="1"/>
    </xf>
    <xf numFmtId="0" fontId="34" fillId="2" borderId="1" xfId="0" applyFont="1" applyFill="1" applyBorder="1"/>
    <xf numFmtId="0" fontId="2" fillId="0" borderId="0" xfId="3"/>
    <xf numFmtId="0" fontId="2" fillId="0" borderId="0" xfId="3" applyAlignment="1">
      <alignment horizontal="center"/>
    </xf>
    <xf numFmtId="173" fontId="2" fillId="0" borderId="1" xfId="3" applyNumberFormat="1" applyBorder="1"/>
    <xf numFmtId="0" fontId="2" fillId="0" borderId="1" xfId="3" applyBorder="1" applyAlignment="1">
      <alignment horizontal="center"/>
    </xf>
    <xf numFmtId="173" fontId="0" fillId="0" borderId="1" xfId="4" applyNumberFormat="1" applyFont="1" applyBorder="1"/>
    <xf numFmtId="173" fontId="0" fillId="0" borderId="1" xfId="4" applyNumberFormat="1" applyFont="1" applyBorder="1" applyAlignment="1">
      <alignment horizontal="center"/>
    </xf>
    <xf numFmtId="0" fontId="2" fillId="0" borderId="1" xfId="3" applyBorder="1"/>
    <xf numFmtId="0" fontId="35" fillId="0" borderId="1" xfId="3" applyFont="1" applyBorder="1" applyAlignment="1">
      <alignment horizontal="center"/>
    </xf>
    <xf numFmtId="173" fontId="2" fillId="0" borderId="0" xfId="3" applyNumberFormat="1"/>
    <xf numFmtId="0" fontId="35" fillId="0" borderId="1" xfId="3" applyFont="1" applyBorder="1"/>
    <xf numFmtId="0" fontId="36" fillId="2" borderId="0" xfId="0" applyFont="1" applyFill="1"/>
    <xf numFmtId="3" fontId="36" fillId="2" borderId="0" xfId="0" applyNumberFormat="1" applyFont="1" applyFill="1"/>
    <xf numFmtId="168" fontId="36" fillId="2" borderId="0" xfId="0" applyNumberFormat="1" applyFont="1" applyFill="1"/>
    <xf numFmtId="169" fontId="36" fillId="2" borderId="0" xfId="0" applyNumberFormat="1" applyFont="1" applyFill="1"/>
    <xf numFmtId="1" fontId="37" fillId="2" borderId="3" xfId="0" applyNumberFormat="1" applyFont="1" applyFill="1" applyBorder="1" applyAlignment="1">
      <alignment horizontal="right" wrapText="1"/>
    </xf>
    <xf numFmtId="1" fontId="37" fillId="2" borderId="0" xfId="0" applyNumberFormat="1" applyFont="1" applyFill="1" applyAlignment="1">
      <alignment horizontal="right" wrapText="1"/>
    </xf>
    <xf numFmtId="166" fontId="36" fillId="2" borderId="0" xfId="0" applyNumberFormat="1" applyFont="1" applyFill="1"/>
    <xf numFmtId="1" fontId="37" fillId="2" borderId="4" xfId="0" applyNumberFormat="1" applyFont="1" applyFill="1" applyBorder="1" applyAlignment="1">
      <alignment horizontal="right" wrapText="1"/>
    </xf>
    <xf numFmtId="1" fontId="36" fillId="2" borderId="0" xfId="0" applyNumberFormat="1" applyFont="1" applyFill="1"/>
    <xf numFmtId="165" fontId="36" fillId="2" borderId="0" xfId="0" applyNumberFormat="1" applyFont="1" applyFill="1"/>
    <xf numFmtId="0" fontId="38" fillId="2" borderId="0" xfId="0" applyFont="1" applyFill="1"/>
    <xf numFmtId="0" fontId="38" fillId="3" borderId="0" xfId="0" applyFont="1" applyFill="1"/>
    <xf numFmtId="14" fontId="39" fillId="2" borderId="0" xfId="0" applyNumberFormat="1" applyFont="1" applyFill="1" applyAlignment="1" applyProtection="1">
      <alignment horizontal="center" vertical="center"/>
      <protection locked="0"/>
    </xf>
    <xf numFmtId="14" fontId="11" fillId="2" borderId="0" xfId="0" applyNumberFormat="1" applyFont="1" applyFill="1"/>
    <xf numFmtId="166" fontId="11" fillId="2" borderId="0" xfId="1" applyNumberFormat="1" applyFont="1" applyFill="1" applyBorder="1" applyAlignment="1" applyProtection="1">
      <alignment vertical="center"/>
    </xf>
    <xf numFmtId="166" fontId="38" fillId="2" borderId="0" xfId="1" applyNumberFormat="1" applyFont="1" applyFill="1" applyBorder="1" applyAlignment="1" applyProtection="1">
      <alignment horizontal="center" vertical="center"/>
      <protection locked="0"/>
    </xf>
    <xf numFmtId="166" fontId="38" fillId="2" borderId="0" xfId="1" applyNumberFormat="1" applyFont="1" applyFill="1" applyBorder="1" applyAlignment="1" applyProtection="1">
      <alignment vertical="center"/>
    </xf>
    <xf numFmtId="0" fontId="11" fillId="2" borderId="0" xfId="0" applyFont="1" applyFill="1" applyAlignment="1">
      <alignment vertical="center" wrapText="1"/>
    </xf>
    <xf numFmtId="0" fontId="38" fillId="2" borderId="0" xfId="1" applyNumberFormat="1" applyFont="1" applyFill="1" applyBorder="1" applyAlignment="1" applyProtection="1">
      <alignment vertical="center"/>
    </xf>
    <xf numFmtId="0" fontId="38" fillId="3" borderId="0" xfId="0" applyFont="1" applyFill="1" applyAlignment="1">
      <alignment horizontal="right"/>
    </xf>
    <xf numFmtId="0" fontId="11" fillId="2" borderId="0" xfId="0" applyFont="1" applyFill="1" applyAlignment="1">
      <alignment horizontal="right"/>
    </xf>
    <xf numFmtId="0" fontId="11" fillId="2" borderId="0" xfId="0" applyFont="1" applyFill="1" applyAlignment="1">
      <alignment vertical="center"/>
    </xf>
    <xf numFmtId="0" fontId="40" fillId="2" borderId="0" xfId="0" applyFont="1" applyFill="1" applyAlignment="1">
      <alignment horizontal="center" vertical="center" wrapText="1"/>
    </xf>
    <xf numFmtId="0" fontId="38" fillId="2" borderId="0" xfId="0" applyFont="1" applyFill="1" applyAlignment="1">
      <alignment vertical="center" wrapText="1"/>
    </xf>
    <xf numFmtId="166" fontId="38" fillId="2" borderId="0" xfId="1" applyNumberFormat="1" applyFont="1" applyFill="1" applyBorder="1" applyProtection="1"/>
    <xf numFmtId="170" fontId="38" fillId="2" borderId="0" xfId="0" applyNumberFormat="1" applyFont="1" applyFill="1"/>
    <xf numFmtId="0" fontId="38" fillId="2" borderId="0" xfId="0" applyFont="1" applyFill="1" applyAlignment="1">
      <alignment wrapText="1"/>
    </xf>
    <xf numFmtId="0" fontId="38" fillId="3" borderId="0" xfId="0" applyFont="1" applyFill="1" applyAlignment="1">
      <alignment wrapText="1"/>
    </xf>
    <xf numFmtId="166" fontId="38" fillId="3" borderId="0" xfId="1" applyNumberFormat="1" applyFont="1" applyFill="1" applyBorder="1" applyProtection="1"/>
    <xf numFmtId="170" fontId="38" fillId="3" borderId="0" xfId="0" applyNumberFormat="1" applyFont="1" applyFill="1"/>
    <xf numFmtId="0" fontId="36" fillId="3" borderId="0" xfId="0" applyFont="1" applyFill="1"/>
    <xf numFmtId="0" fontId="38" fillId="3" borderId="0" xfId="0" applyFont="1" applyFill="1" applyAlignment="1">
      <alignment vertical="center" wrapText="1"/>
    </xf>
    <xf numFmtId="0" fontId="41" fillId="2" borderId="0" xfId="0" applyFont="1" applyFill="1"/>
    <xf numFmtId="164" fontId="36" fillId="2" borderId="0" xfId="1" applyFont="1" applyFill="1"/>
    <xf numFmtId="0" fontId="36" fillId="2" borderId="0" xfId="0" quotePrefix="1" applyFont="1" applyFill="1"/>
    <xf numFmtId="166" fontId="9" fillId="0" borderId="0" xfId="1" applyNumberFormat="1" applyFont="1" applyFill="1" applyBorder="1" applyAlignment="1">
      <alignment horizontal="right" vertical="center"/>
    </xf>
    <xf numFmtId="9" fontId="9" fillId="2" borderId="0" xfId="2" applyFont="1" applyFill="1" applyBorder="1" applyAlignment="1" applyProtection="1">
      <alignment horizontal="right" vertical="center"/>
    </xf>
    <xf numFmtId="9" fontId="9" fillId="0" borderId="0" xfId="2" applyFont="1" applyFill="1" applyBorder="1" applyAlignment="1" applyProtection="1">
      <alignment horizontal="right" vertical="center"/>
    </xf>
    <xf numFmtId="0" fontId="9" fillId="0" borderId="0" xfId="0" applyFont="1"/>
    <xf numFmtId="0" fontId="23" fillId="0" borderId="0" xfId="0" applyFont="1"/>
    <xf numFmtId="0" fontId="24" fillId="0" borderId="0" xfId="0" applyFont="1"/>
    <xf numFmtId="166" fontId="24" fillId="0" borderId="0" xfId="1" applyNumberFormat="1" applyFont="1" applyFill="1" applyBorder="1" applyAlignment="1">
      <alignment horizontal="right" vertical="center"/>
    </xf>
    <xf numFmtId="0" fontId="24" fillId="0" borderId="0" xfId="0" applyFont="1" applyAlignment="1">
      <alignment wrapText="1"/>
    </xf>
    <xf numFmtId="0" fontId="24" fillId="0" borderId="0" xfId="2" applyNumberFormat="1" applyFont="1" applyFill="1" applyBorder="1" applyAlignment="1">
      <alignment wrapText="1"/>
    </xf>
    <xf numFmtId="3" fontId="24" fillId="0" borderId="0" xfId="0" applyNumberFormat="1" applyFont="1"/>
    <xf numFmtId="166" fontId="24" fillId="0" borderId="0" xfId="0" applyNumberFormat="1" applyFont="1"/>
    <xf numFmtId="0" fontId="11" fillId="0" borderId="0" xfId="0" applyFont="1"/>
    <xf numFmtId="9" fontId="39" fillId="4" borderId="0" xfId="0" applyNumberFormat="1" applyFont="1" applyFill="1"/>
    <xf numFmtId="0" fontId="39" fillId="4" borderId="0" xfId="0" applyFont="1" applyFill="1"/>
    <xf numFmtId="166" fontId="13" fillId="4" borderId="0" xfId="1" applyNumberFormat="1" applyFont="1" applyFill="1" applyBorder="1" applyAlignment="1">
      <alignment horizontal="right" vertical="center"/>
    </xf>
    <xf numFmtId="14" fontId="15" fillId="2" borderId="7" xfId="0" applyNumberFormat="1" applyFont="1" applyFill="1" applyBorder="1" applyAlignment="1" applyProtection="1">
      <alignment horizontal="center"/>
      <protection locked="0"/>
    </xf>
    <xf numFmtId="1" fontId="42" fillId="2" borderId="1" xfId="0" applyNumberFormat="1" applyFont="1" applyFill="1" applyBorder="1" applyAlignment="1">
      <alignment horizontal="right" wrapText="1"/>
    </xf>
    <xf numFmtId="0" fontId="14" fillId="2" borderId="1" xfId="0" applyFont="1" applyFill="1" applyBorder="1"/>
    <xf numFmtId="3" fontId="11" fillId="2" borderId="0" xfId="0" applyNumberFormat="1" applyFont="1" applyFill="1"/>
    <xf numFmtId="3" fontId="11" fillId="0" borderId="0" xfId="0" applyNumberFormat="1" applyFont="1"/>
    <xf numFmtId="171" fontId="11" fillId="0" borderId="0" xfId="0" applyNumberFormat="1" applyFont="1"/>
    <xf numFmtId="166" fontId="11" fillId="0" borderId="0" xfId="0" applyNumberFormat="1" applyFont="1"/>
    <xf numFmtId="166" fontId="11" fillId="2" borderId="0" xfId="0" applyNumberFormat="1" applyFont="1" applyFill="1"/>
    <xf numFmtId="0" fontId="1" fillId="0" borderId="0" xfId="5"/>
    <xf numFmtId="0" fontId="35" fillId="8" borderId="1" xfId="5" applyFont="1" applyFill="1" applyBorder="1"/>
    <xf numFmtId="0" fontId="35" fillId="0" borderId="1" xfId="5" applyFont="1" applyBorder="1"/>
    <xf numFmtId="0" fontId="1" fillId="0" borderId="1" xfId="5" applyBorder="1"/>
    <xf numFmtId="0" fontId="35" fillId="8" borderId="10" xfId="5" applyFont="1" applyFill="1" applyBorder="1"/>
    <xf numFmtId="0" fontId="1" fillId="0" borderId="10" xfId="5" applyBorder="1"/>
    <xf numFmtId="0" fontId="35" fillId="8" borderId="9" xfId="5" applyFont="1" applyFill="1" applyBorder="1"/>
    <xf numFmtId="0" fontId="1" fillId="0" borderId="9" xfId="5" applyBorder="1"/>
    <xf numFmtId="0" fontId="1" fillId="0" borderId="14" xfId="5" applyBorder="1"/>
    <xf numFmtId="0" fontId="35" fillId="0" borderId="9" xfId="5" applyFont="1" applyBorder="1"/>
    <xf numFmtId="173" fontId="0" fillId="0" borderId="0" xfId="6" applyNumberFormat="1" applyFont="1" applyBorder="1"/>
    <xf numFmtId="173" fontId="1" fillId="0" borderId="0" xfId="5" applyNumberFormat="1"/>
    <xf numFmtId="0" fontId="43" fillId="8" borderId="1" xfId="5" applyFont="1" applyFill="1" applyBorder="1" applyAlignment="1">
      <alignment horizontal="center" vertical="center" wrapText="1"/>
    </xf>
    <xf numFmtId="173" fontId="1" fillId="0" borderId="1" xfId="5" applyNumberFormat="1" applyBorder="1"/>
    <xf numFmtId="173" fontId="0" fillId="0" borderId="1" xfId="6" applyNumberFormat="1" applyFont="1" applyBorder="1"/>
    <xf numFmtId="0" fontId="1" fillId="0" borderId="11" xfId="5" applyBorder="1"/>
    <xf numFmtId="0" fontId="1" fillId="0" borderId="15" xfId="5" applyBorder="1"/>
    <xf numFmtId="0" fontId="44" fillId="8" borderId="1" xfId="5" applyFont="1" applyFill="1" applyBorder="1" applyAlignment="1">
      <alignment horizontal="center" vertical="center" wrapText="1"/>
    </xf>
    <xf numFmtId="173" fontId="0" fillId="0" borderId="7" xfId="6" applyNumberFormat="1" applyFont="1" applyBorder="1"/>
    <xf numFmtId="173" fontId="0" fillId="0" borderId="0" xfId="6" applyNumberFormat="1" applyFont="1" applyAlignment="1">
      <alignment horizontal="left" indent="2"/>
    </xf>
    <xf numFmtId="0" fontId="35" fillId="8" borderId="1" xfId="0" applyFont="1" applyFill="1" applyBorder="1"/>
    <xf numFmtId="0" fontId="0" fillId="0" borderId="1" xfId="0" applyBorder="1"/>
    <xf numFmtId="0" fontId="35" fillId="8" borderId="10" xfId="0" applyFont="1" applyFill="1" applyBorder="1"/>
    <xf numFmtId="0" fontId="0" fillId="0" borderId="10" xfId="0" applyBorder="1"/>
    <xf numFmtId="174" fontId="11" fillId="2" borderId="0" xfId="1" applyNumberFormat="1" applyFont="1" applyFill="1"/>
    <xf numFmtId="3" fontId="14" fillId="2" borderId="0" xfId="0" applyNumberFormat="1" applyFont="1" applyFill="1"/>
    <xf numFmtId="168" fontId="14" fillId="2" borderId="0" xfId="0" applyNumberFormat="1" applyFont="1" applyFill="1"/>
    <xf numFmtId="0" fontId="14" fillId="2" borderId="2" xfId="0" applyFont="1" applyFill="1" applyBorder="1" applyAlignment="1">
      <alignment vertical="center" wrapText="1"/>
    </xf>
    <xf numFmtId="169" fontId="14" fillId="2" borderId="0" xfId="0" applyNumberFormat="1" applyFont="1" applyFill="1"/>
    <xf numFmtId="9" fontId="13" fillId="0" borderId="0" xfId="2" applyFont="1" applyFill="1" applyBorder="1" applyAlignment="1" applyProtection="1">
      <alignment horizontal="right" vertical="center"/>
    </xf>
    <xf numFmtId="0" fontId="13" fillId="0" borderId="0" xfId="0" applyFont="1" applyAlignment="1">
      <alignment horizontal="center"/>
    </xf>
    <xf numFmtId="14" fontId="9" fillId="0" borderId="0" xfId="0" applyNumberFormat="1" applyFont="1"/>
    <xf numFmtId="14" fontId="9" fillId="0" borderId="0" xfId="0" applyNumberFormat="1" applyFont="1" applyAlignment="1">
      <alignment horizontal="center"/>
    </xf>
    <xf numFmtId="166" fontId="9" fillId="0" borderId="0" xfId="1" applyNumberFormat="1" applyFont="1" applyFill="1" applyBorder="1" applyAlignment="1" applyProtection="1">
      <alignment horizontal="right" vertical="center"/>
    </xf>
    <xf numFmtId="4" fontId="1" fillId="0" borderId="10" xfId="5" applyNumberFormat="1" applyBorder="1" applyAlignment="1">
      <alignment horizontal="center"/>
    </xf>
    <xf numFmtId="166" fontId="45" fillId="4" borderId="0" xfId="1" applyNumberFormat="1" applyFont="1" applyFill="1" applyBorder="1" applyAlignment="1">
      <alignment horizontal="right" vertical="center"/>
    </xf>
    <xf numFmtId="0" fontId="45" fillId="4" borderId="0" xfId="0" applyFont="1" applyFill="1"/>
    <xf numFmtId="0" fontId="24" fillId="4" borderId="0" xfId="0" applyFont="1" applyFill="1"/>
    <xf numFmtId="166" fontId="46" fillId="2" borderId="0" xfId="1" applyNumberFormat="1" applyFont="1" applyFill="1" applyBorder="1" applyAlignment="1" applyProtection="1">
      <alignment vertical="center"/>
    </xf>
    <xf numFmtId="9" fontId="13" fillId="2" borderId="0" xfId="2" applyFont="1" applyFill="1" applyBorder="1" applyAlignment="1" applyProtection="1">
      <alignment horizontal="right" vertical="center"/>
    </xf>
    <xf numFmtId="166" fontId="9" fillId="2" borderId="0" xfId="1" applyNumberFormat="1" applyFont="1" applyFill="1" applyBorder="1" applyAlignment="1">
      <alignment horizontal="right" vertical="center"/>
    </xf>
    <xf numFmtId="14" fontId="9" fillId="2" borderId="0" xfId="0" applyNumberFormat="1" applyFont="1" applyFill="1" applyAlignment="1">
      <alignment horizontal="left"/>
    </xf>
    <xf numFmtId="174" fontId="47" fillId="2" borderId="0" xfId="1" applyNumberFormat="1" applyFont="1" applyFill="1" applyAlignment="1">
      <alignment vertical="center"/>
    </xf>
    <xf numFmtId="0" fontId="48" fillId="2" borderId="0" xfId="0" applyFont="1" applyFill="1"/>
    <xf numFmtId="0" fontId="49" fillId="2" borderId="0" xfId="0" applyFont="1" applyFill="1" applyAlignment="1">
      <alignment vertical="center"/>
    </xf>
    <xf numFmtId="0" fontId="47" fillId="2" borderId="0" xfId="0" applyFont="1" applyFill="1"/>
    <xf numFmtId="0" fontId="1" fillId="11" borderId="1" xfId="5" applyFill="1" applyBorder="1"/>
    <xf numFmtId="0" fontId="14" fillId="2" borderId="0" xfId="0" applyFont="1" applyFill="1" applyAlignment="1">
      <alignment horizontal="right"/>
    </xf>
    <xf numFmtId="174" fontId="29" fillId="2" borderId="0" xfId="1" applyNumberFormat="1" applyFont="1" applyFill="1"/>
    <xf numFmtId="0" fontId="9" fillId="2" borderId="0" xfId="0" applyFont="1" applyFill="1" applyAlignment="1" applyProtection="1">
      <alignment horizontal="left"/>
      <protection locked="0"/>
    </xf>
    <xf numFmtId="14" fontId="9" fillId="2" borderId="1" xfId="0" applyNumberFormat="1" applyFont="1" applyFill="1" applyBorder="1" applyAlignment="1" applyProtection="1">
      <alignment horizontal="center"/>
      <protection locked="0"/>
    </xf>
    <xf numFmtId="166" fontId="23" fillId="2" borderId="0" xfId="1"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protection locked="0"/>
    </xf>
    <xf numFmtId="0" fontId="9"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protection locked="0"/>
    </xf>
    <xf numFmtId="14" fontId="9" fillId="2" borderId="1" xfId="0" applyNumberFormat="1" applyFont="1" applyFill="1" applyBorder="1" applyAlignment="1" applyProtection="1">
      <alignment horizontal="center"/>
      <protection locked="0"/>
    </xf>
    <xf numFmtId="0" fontId="13" fillId="2" borderId="1" xfId="0" applyFont="1" applyFill="1" applyBorder="1" applyAlignment="1">
      <alignment horizontal="center"/>
    </xf>
    <xf numFmtId="14" fontId="9" fillId="2" borderId="5" xfId="0" applyNumberFormat="1" applyFont="1" applyFill="1" applyBorder="1" applyAlignment="1" applyProtection="1">
      <alignment horizontal="center"/>
      <protection locked="0"/>
    </xf>
    <xf numFmtId="14" fontId="9" fillId="2" borderId="6" xfId="0" applyNumberFormat="1" applyFont="1" applyFill="1" applyBorder="1" applyAlignment="1" applyProtection="1">
      <alignment horizontal="center"/>
      <protection locked="0"/>
    </xf>
    <xf numFmtId="0" fontId="21" fillId="2" borderId="1" xfId="0" applyFont="1" applyFill="1" applyBorder="1" applyAlignment="1" applyProtection="1">
      <alignment horizontal="center"/>
      <protection locked="0"/>
    </xf>
    <xf numFmtId="0" fontId="13" fillId="2" borderId="1" xfId="0" applyFont="1" applyFill="1" applyBorder="1" applyAlignment="1">
      <alignment horizontal="left"/>
    </xf>
    <xf numFmtId="0" fontId="13"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19" fillId="2" borderId="1" xfId="0" applyFont="1" applyFill="1" applyBorder="1" applyAlignment="1">
      <alignment horizontal="center" wrapText="1"/>
    </xf>
    <xf numFmtId="0" fontId="40" fillId="2" borderId="0" xfId="0" applyFont="1" applyFill="1" applyAlignment="1">
      <alignment horizontal="center" vertical="center" wrapText="1"/>
    </xf>
    <xf numFmtId="0" fontId="13" fillId="2" borderId="0" xfId="0" applyFont="1" applyFill="1" applyAlignment="1">
      <alignment horizontal="left" wrapText="1"/>
    </xf>
    <xf numFmtId="0" fontId="1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8" fillId="2" borderId="0" xfId="0" applyFont="1" applyFill="1" applyAlignment="1">
      <alignment horizontal="center" vertical="center"/>
    </xf>
    <xf numFmtId="0" fontId="18" fillId="2" borderId="1" xfId="0" applyFont="1" applyFill="1" applyBorder="1" applyAlignment="1">
      <alignment horizontal="center" wrapText="1"/>
    </xf>
    <xf numFmtId="166" fontId="9" fillId="2" borderId="1" xfId="1" applyNumberFormat="1" applyFont="1" applyFill="1" applyBorder="1" applyAlignment="1" applyProtection="1">
      <alignment horizontal="center" vertical="center"/>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center" wrapText="1"/>
    </xf>
    <xf numFmtId="166" fontId="38" fillId="2" borderId="0" xfId="1"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horizontal="left"/>
    </xf>
    <xf numFmtId="0" fontId="13" fillId="0" borderId="1" xfId="0" applyFont="1" applyBorder="1" applyAlignment="1">
      <alignment horizontal="left"/>
    </xf>
    <xf numFmtId="14" fontId="9" fillId="0" borderId="1" xfId="0" applyNumberFormat="1" applyFont="1" applyBorder="1" applyAlignment="1">
      <alignment horizontal="center" wrapText="1"/>
    </xf>
    <xf numFmtId="0" fontId="9" fillId="0" borderId="1" xfId="0" applyFont="1" applyBorder="1" applyAlignment="1">
      <alignment horizontal="center" wrapText="1"/>
    </xf>
    <xf numFmtId="166" fontId="9" fillId="0" borderId="1" xfId="0" applyNumberFormat="1" applyFont="1" applyBorder="1" applyAlignment="1">
      <alignment horizontal="center"/>
    </xf>
    <xf numFmtId="0" fontId="16" fillId="2" borderId="1" xfId="0" applyFont="1" applyFill="1" applyBorder="1" applyAlignment="1">
      <alignment horizontal="center" vertical="center" wrapText="1"/>
    </xf>
    <xf numFmtId="166" fontId="15" fillId="0" borderId="1" xfId="1" applyNumberFormat="1" applyFont="1" applyFill="1" applyBorder="1" applyAlignment="1" applyProtection="1">
      <alignment horizontal="center" vertical="center"/>
      <protection locked="0"/>
    </xf>
    <xf numFmtId="164" fontId="15" fillId="0" borderId="1" xfId="1" applyFont="1" applyFill="1" applyBorder="1" applyAlignment="1">
      <alignment horizontal="center" vertical="center"/>
    </xf>
    <xf numFmtId="166" fontId="13" fillId="0" borderId="1" xfId="1" applyNumberFormat="1" applyFont="1" applyFill="1" applyBorder="1" applyAlignment="1">
      <alignment horizontal="center" vertical="center" wrapText="1"/>
    </xf>
    <xf numFmtId="166" fontId="9" fillId="0" borderId="1" xfId="1" applyNumberFormat="1" applyFont="1" applyFill="1" applyBorder="1" applyAlignment="1">
      <alignment horizontal="center" vertical="center"/>
    </xf>
    <xf numFmtId="14" fontId="16"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70" fontId="9" fillId="0" borderId="1" xfId="1" applyNumberFormat="1" applyFont="1" applyFill="1" applyBorder="1" applyAlignment="1" applyProtection="1">
      <alignment horizontal="center" vertical="center"/>
      <protection locked="0"/>
    </xf>
    <xf numFmtId="0" fontId="24"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9" fillId="0" borderId="1"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5" xfId="0" applyFont="1" applyBorder="1" applyAlignment="1" applyProtection="1">
      <alignment horizontal="center"/>
      <protection locked="0"/>
    </xf>
    <xf numFmtId="0" fontId="9" fillId="0" borderId="6" xfId="0" applyFont="1" applyBorder="1" applyAlignment="1" applyProtection="1">
      <alignment horizontal="center"/>
      <protection locked="0"/>
    </xf>
    <xf numFmtId="166" fontId="9" fillId="0" borderId="0" xfId="0" applyNumberFormat="1" applyFont="1" applyAlignment="1">
      <alignment horizontal="center"/>
    </xf>
    <xf numFmtId="14" fontId="9" fillId="0" borderId="0" xfId="0" applyNumberFormat="1" applyFont="1" applyAlignment="1">
      <alignment horizontal="center"/>
    </xf>
    <xf numFmtId="14" fontId="9" fillId="2" borderId="0" xfId="0" applyNumberFormat="1" applyFont="1" applyFill="1" applyAlignment="1">
      <alignment horizontal="center"/>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16" fillId="0" borderId="7" xfId="0" applyFont="1" applyBorder="1" applyAlignment="1">
      <alignment horizontal="left"/>
    </xf>
    <xf numFmtId="0" fontId="43" fillId="8" borderId="9" xfId="5" applyFont="1" applyFill="1" applyBorder="1" applyAlignment="1">
      <alignment horizontal="center" vertical="center" wrapText="1"/>
    </xf>
    <xf numFmtId="0" fontId="43" fillId="8" borderId="0" xfId="5" applyFont="1" applyFill="1" applyAlignment="1">
      <alignment horizontal="center" vertical="center" wrapText="1"/>
    </xf>
    <xf numFmtId="0" fontId="35" fillId="9" borderId="11" xfId="5" applyFont="1" applyFill="1" applyBorder="1" applyAlignment="1">
      <alignment horizontal="center" wrapText="1"/>
    </xf>
    <xf numFmtId="0" fontId="35" fillId="9" borderId="12" xfId="5" applyFont="1" applyFill="1" applyBorder="1" applyAlignment="1">
      <alignment horizontal="center" wrapText="1"/>
    </xf>
    <xf numFmtId="0" fontId="35" fillId="9" borderId="13" xfId="5" applyFont="1" applyFill="1" applyBorder="1" applyAlignment="1">
      <alignment horizontal="center" wrapText="1"/>
    </xf>
    <xf numFmtId="0" fontId="35" fillId="7" borderId="11" xfId="5" applyFont="1" applyFill="1" applyBorder="1" applyAlignment="1">
      <alignment horizontal="center" vertical="center" wrapText="1"/>
    </xf>
    <xf numFmtId="0" fontId="35" fillId="7" borderId="12" xfId="5" applyFont="1" applyFill="1" applyBorder="1" applyAlignment="1">
      <alignment horizontal="center" vertical="center" wrapText="1"/>
    </xf>
    <xf numFmtId="0" fontId="35" fillId="7" borderId="13" xfId="5" applyFont="1" applyFill="1" applyBorder="1" applyAlignment="1">
      <alignment horizontal="center" vertical="center" wrapText="1"/>
    </xf>
    <xf numFmtId="173" fontId="35" fillId="8" borderId="0" xfId="6" applyNumberFormat="1" applyFont="1" applyFill="1" applyBorder="1" applyAlignment="1">
      <alignment horizontal="center"/>
    </xf>
    <xf numFmtId="173" fontId="35" fillId="8" borderId="14" xfId="6" applyNumberFormat="1" applyFont="1" applyFill="1" applyBorder="1" applyAlignment="1">
      <alignment horizontal="center"/>
    </xf>
    <xf numFmtId="0" fontId="35" fillId="0" borderId="9" xfId="5" applyFont="1" applyBorder="1" applyAlignment="1">
      <alignment horizontal="center" vertical="center"/>
    </xf>
    <xf numFmtId="173" fontId="0" fillId="0" borderId="0" xfId="6" applyNumberFormat="1" applyFont="1" applyBorder="1" applyAlignment="1">
      <alignment horizontal="center" vertical="center"/>
    </xf>
    <xf numFmtId="173" fontId="43" fillId="8" borderId="15" xfId="6" applyNumberFormat="1" applyFont="1" applyFill="1" applyBorder="1" applyAlignment="1">
      <alignment horizontal="center" vertical="center" wrapText="1"/>
    </xf>
    <xf numFmtId="173" fontId="43" fillId="8" borderId="16" xfId="6" applyNumberFormat="1" applyFont="1" applyFill="1" applyBorder="1" applyAlignment="1">
      <alignment horizontal="center" vertical="center" wrapText="1"/>
    </xf>
    <xf numFmtId="173" fontId="0" fillId="10" borderId="0" xfId="6" applyNumberFormat="1" applyFont="1" applyFill="1" applyBorder="1" applyAlignment="1">
      <alignment horizontal="center"/>
    </xf>
    <xf numFmtId="173" fontId="0" fillId="10" borderId="14" xfId="6" applyNumberFormat="1" applyFont="1" applyFill="1" applyBorder="1" applyAlignment="1">
      <alignment horizontal="center"/>
    </xf>
    <xf numFmtId="0" fontId="2" fillId="5" borderId="8" xfId="3" applyFill="1" applyBorder="1" applyAlignment="1">
      <alignment horizontal="center"/>
    </xf>
    <xf numFmtId="0" fontId="2" fillId="6" borderId="8" xfId="3" applyFill="1" applyBorder="1" applyAlignment="1">
      <alignment horizontal="center"/>
    </xf>
    <xf numFmtId="0" fontId="35" fillId="7" borderId="1" xfId="3" applyFont="1" applyFill="1" applyBorder="1" applyAlignment="1">
      <alignment horizontal="center"/>
    </xf>
    <xf numFmtId="0" fontId="2" fillId="0" borderId="1" xfId="3" applyBorder="1" applyAlignment="1">
      <alignment horizontal="center"/>
    </xf>
    <xf numFmtId="14" fontId="2" fillId="0" borderId="1" xfId="3" applyNumberFormat="1" applyBorder="1" applyAlignment="1">
      <alignment horizontal="center"/>
    </xf>
    <xf numFmtId="174" fontId="47" fillId="12" borderId="0" xfId="1" applyNumberFormat="1" applyFont="1" applyFill="1" applyAlignment="1">
      <alignment vertical="center"/>
    </xf>
    <xf numFmtId="0" fontId="47" fillId="12" borderId="0" xfId="0" applyFont="1" applyFill="1"/>
    <xf numFmtId="166" fontId="47" fillId="12" borderId="0" xfId="1" applyNumberFormat="1" applyFont="1" applyFill="1" applyBorder="1" applyAlignment="1">
      <alignment vertical="center"/>
    </xf>
    <xf numFmtId="166" fontId="27" fillId="12" borderId="0" xfId="1" applyNumberFormat="1" applyFont="1" applyFill="1" applyBorder="1" applyAlignment="1">
      <alignment vertical="center"/>
    </xf>
    <xf numFmtId="0" fontId="27" fillId="12" borderId="0" xfId="0" applyFont="1" applyFill="1"/>
    <xf numFmtId="0" fontId="34" fillId="12" borderId="0" xfId="0" applyFont="1" applyFill="1"/>
    <xf numFmtId="14" fontId="34" fillId="12" borderId="0" xfId="0" applyNumberFormat="1" applyFont="1" applyFill="1"/>
    <xf numFmtId="0" fontId="14" fillId="12" borderId="0" xfId="0" applyFont="1" applyFill="1"/>
    <xf numFmtId="0" fontId="29" fillId="12" borderId="0" xfId="0" applyFont="1" applyFill="1"/>
  </cellXfs>
  <cellStyles count="8">
    <cellStyle name="Moneda" xfId="1" builtinId="4"/>
    <cellStyle name="Moneda 2" xfId="4"/>
    <cellStyle name="Moneda 3" xfId="6"/>
    <cellStyle name="Normal" xfId="0" builtinId="0"/>
    <cellStyle name="Normal 2" xfId="3"/>
    <cellStyle name="Normal 3" xfId="5"/>
    <cellStyle name="Porcentaje" xfId="2" builtinId="5"/>
    <cellStyle name="Porcentaje 2" xfId="7"/>
  </cellStyles>
  <dxfs count="0"/>
  <tableStyles count="0" defaultTableStyle="TableStyleMedium2" defaultPivotStyle="PivotStyleLight16"/>
  <colors>
    <mruColors>
      <color rgb="FF00FF00"/>
      <color rgb="FF66FFFF"/>
      <color rgb="FFCC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18</xdr:col>
      <xdr:colOff>371929</xdr:colOff>
      <xdr:row>4</xdr:row>
      <xdr:rowOff>90714</xdr:rowOff>
    </xdr:from>
    <xdr:to>
      <xdr:col>74</xdr:col>
      <xdr:colOff>538929</xdr:colOff>
      <xdr:row>13</xdr:row>
      <xdr:rowOff>57857</xdr:rowOff>
    </xdr:to>
    <xdr:pic>
      <xdr:nvPicPr>
        <xdr:cNvPr id="4" name="Imagen 3"/>
        <xdr:cNvPicPr>
          <a:picLocks noChangeAspect="1"/>
        </xdr:cNvPicPr>
      </xdr:nvPicPr>
      <xdr:blipFill>
        <a:blip xmlns:r="http://schemas.openxmlformats.org/officeDocument/2006/relationships" r:embed="rId1"/>
        <a:stretch>
          <a:fillRect/>
        </a:stretch>
      </xdr:blipFill>
      <xdr:spPr>
        <a:xfrm>
          <a:off x="11847286" y="816428"/>
          <a:ext cx="10200000" cy="1600000"/>
        </a:xfrm>
        <a:prstGeom prst="rect">
          <a:avLst/>
        </a:prstGeom>
      </xdr:spPr>
    </xdr:pic>
    <xdr:clientData/>
  </xdr:twoCellAnchor>
  <xdr:twoCellAnchor editAs="oneCell">
    <xdr:from>
      <xdr:col>19</xdr:col>
      <xdr:colOff>0</xdr:colOff>
      <xdr:row>15</xdr:row>
      <xdr:rowOff>0</xdr:rowOff>
    </xdr:from>
    <xdr:to>
      <xdr:col>74</xdr:col>
      <xdr:colOff>669014</xdr:colOff>
      <xdr:row>45</xdr:row>
      <xdr:rowOff>116969</xdr:rowOff>
    </xdr:to>
    <xdr:pic>
      <xdr:nvPicPr>
        <xdr:cNvPr id="5" name="Imagen 4"/>
        <xdr:cNvPicPr>
          <a:picLocks noChangeAspect="1"/>
        </xdr:cNvPicPr>
      </xdr:nvPicPr>
      <xdr:blipFill>
        <a:blip xmlns:r="http://schemas.openxmlformats.org/officeDocument/2006/relationships" r:embed="rId2"/>
        <a:stretch>
          <a:fillRect/>
        </a:stretch>
      </xdr:blipFill>
      <xdr:spPr>
        <a:xfrm>
          <a:off x="11885706" y="2689412"/>
          <a:ext cx="10276190" cy="25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76200</xdr:colOff>
      <xdr:row>0</xdr:row>
      <xdr:rowOff>0</xdr:rowOff>
    </xdr:from>
    <xdr:to>
      <xdr:col>9</xdr:col>
      <xdr:colOff>342526</xdr:colOff>
      <xdr:row>3</xdr:row>
      <xdr:rowOff>893</xdr:rowOff>
    </xdr:to>
    <xdr:pic>
      <xdr:nvPicPr>
        <xdr:cNvPr id="2" name="Imagen 1">
          <a:extLst>
            <a:ext uri="{FF2B5EF4-FFF2-40B4-BE49-F238E27FC236}">
              <a16:creationId xmlns:a16="http://schemas.microsoft.com/office/drawing/2014/main" id="{33BD98B3-D820-4175-A898-90EB29743430}"/>
            </a:ext>
          </a:extLst>
        </xdr:cNvPr>
        <xdr:cNvPicPr>
          <a:picLocks noChangeAspect="1"/>
        </xdr:cNvPicPr>
      </xdr:nvPicPr>
      <xdr:blipFill>
        <a:blip xmlns:r="http://schemas.openxmlformats.org/officeDocument/2006/relationships" r:embed="rId1"/>
        <a:stretch>
          <a:fillRect/>
        </a:stretch>
      </xdr:blipFill>
      <xdr:spPr>
        <a:xfrm>
          <a:off x="8143875" y="0"/>
          <a:ext cx="2295151" cy="7552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CX427"/>
  <sheetViews>
    <sheetView topLeftCell="Y71" workbookViewId="0">
      <selection activeCell="AB87" sqref="AB87"/>
    </sheetView>
  </sheetViews>
  <sheetFormatPr baseColWidth="10" defaultColWidth="11.3984375" defaultRowHeight="0" customHeight="1" zeroHeight="1" x14ac:dyDescent="0.35"/>
  <cols>
    <col min="1" max="1" width="0.69921875" style="85" customWidth="1"/>
    <col min="2" max="2" width="2.09765625" style="85" customWidth="1"/>
    <col min="3" max="3" width="12.296875" style="85" customWidth="1"/>
    <col min="4" max="4" width="16.59765625" style="85" customWidth="1"/>
    <col min="5" max="5" width="22.59765625" style="85" customWidth="1"/>
    <col min="6" max="6" width="2" style="85" customWidth="1"/>
    <col min="7" max="7" width="8.296875" style="85" customWidth="1"/>
    <col min="8" max="8" width="14.09765625" style="85" customWidth="1"/>
    <col min="9" max="9" width="3.09765625" style="85" customWidth="1"/>
    <col min="10" max="10" width="2.09765625" style="85" customWidth="1"/>
    <col min="11" max="11" width="14.296875" style="85" customWidth="1"/>
    <col min="12" max="12" width="2.09765625" style="85" customWidth="1"/>
    <col min="13" max="13" width="14.296875" style="85" customWidth="1"/>
    <col min="14" max="14" width="2.09765625" style="85" customWidth="1"/>
    <col min="15" max="15" width="14.296875" style="85" customWidth="1"/>
    <col min="16" max="16" width="2.09765625" style="146" customWidth="1"/>
    <col min="17" max="26" width="2.69921875" style="146" customWidth="1"/>
    <col min="27" max="27" width="23.69921875" style="146" customWidth="1"/>
    <col min="28" max="28" width="12.8984375" style="146" customWidth="1"/>
    <col min="29" max="29" width="16.69921875" style="146" customWidth="1"/>
    <col min="30" max="30" width="10.8984375" style="146" customWidth="1"/>
    <col min="31" max="31" width="4.296875" style="146" customWidth="1"/>
    <col min="32" max="32" width="11" style="146" customWidth="1"/>
    <col min="33" max="33" width="6.8984375" style="146" customWidth="1"/>
    <col min="34" max="34" width="7.8984375" style="146" customWidth="1"/>
    <col min="35" max="35" width="8.59765625" style="146" customWidth="1"/>
    <col min="36" max="36" width="10" style="146" customWidth="1"/>
    <col min="37" max="65" width="11.3984375" style="146" customWidth="1"/>
    <col min="66" max="102" width="11.3984375" style="67" customWidth="1"/>
    <col min="103" max="126" width="11.3984375" style="85" customWidth="1"/>
    <col min="127" max="16384" width="11.3984375" style="85"/>
  </cols>
  <sheetData>
    <row r="1" spans="1:102" s="46" customFormat="1" ht="3" customHeight="1" x14ac:dyDescent="0.3">
      <c r="A1" s="5"/>
      <c r="B1" s="5"/>
      <c r="C1" s="5"/>
      <c r="D1" s="5"/>
      <c r="E1" s="5"/>
      <c r="F1" s="5"/>
      <c r="G1" s="5"/>
      <c r="H1" s="5"/>
      <c r="I1" s="5"/>
      <c r="J1" s="5"/>
      <c r="K1" s="5"/>
      <c r="L1" s="5"/>
      <c r="M1" s="5"/>
      <c r="N1" s="5"/>
      <c r="O1" s="5"/>
      <c r="P1" s="156"/>
      <c r="Q1" s="156"/>
      <c r="R1" s="156"/>
      <c r="S1" s="156"/>
      <c r="T1" s="156"/>
      <c r="U1" s="156"/>
      <c r="V1" s="156"/>
      <c r="W1" s="156"/>
      <c r="X1" s="157"/>
      <c r="Y1" s="157"/>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row>
    <row r="2" spans="1:102" s="46" customFormat="1" ht="12.75" customHeight="1" x14ac:dyDescent="0.3">
      <c r="A2" s="5"/>
      <c r="C2" s="47"/>
      <c r="D2" s="47"/>
      <c r="E2" s="48"/>
      <c r="K2" s="49"/>
      <c r="P2" s="2"/>
      <c r="Q2" s="156"/>
      <c r="R2" s="156"/>
      <c r="S2" s="156"/>
      <c r="T2" s="156"/>
      <c r="U2" s="156"/>
      <c r="V2" s="156"/>
      <c r="W2" s="156"/>
      <c r="X2" s="157"/>
      <c r="Y2" s="157"/>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row>
    <row r="3" spans="1:102" s="46" customFormat="1" ht="12.75" customHeight="1" x14ac:dyDescent="0.3">
      <c r="A3" s="5"/>
      <c r="C3" s="280" t="s">
        <v>388</v>
      </c>
      <c r="D3" s="280"/>
      <c r="E3" s="280"/>
      <c r="F3" s="7"/>
      <c r="G3" s="7"/>
      <c r="H3" s="7"/>
      <c r="I3" s="7"/>
      <c r="J3" s="270" t="s">
        <v>104</v>
      </c>
      <c r="K3" s="270"/>
      <c r="L3" s="270"/>
      <c r="M3" s="279" t="s">
        <v>430</v>
      </c>
      <c r="N3" s="279"/>
      <c r="O3" s="279"/>
      <c r="P3" s="158"/>
      <c r="Q3" s="2"/>
      <c r="R3" s="2"/>
      <c r="S3" s="2"/>
      <c r="T3" s="156"/>
      <c r="U3" s="156"/>
      <c r="V3" s="156"/>
      <c r="W3" s="156"/>
      <c r="X3" s="157"/>
      <c r="Y3" s="157"/>
      <c r="Z3" s="2"/>
      <c r="AA3" s="2"/>
      <c r="AB3" s="2"/>
      <c r="AC3" s="2"/>
      <c r="AD3" s="2"/>
      <c r="AE3" s="2"/>
      <c r="AF3" s="2"/>
      <c r="AG3" s="2"/>
      <c r="AH3" s="2"/>
      <c r="AI3" s="2"/>
      <c r="AJ3" s="2"/>
      <c r="AK3" s="2" t="s">
        <v>58</v>
      </c>
      <c r="AL3" s="2" t="s">
        <v>59</v>
      </c>
      <c r="AM3" s="2" t="s">
        <v>60</v>
      </c>
      <c r="AN3" s="2" t="s">
        <v>61</v>
      </c>
      <c r="AO3" s="2" t="s">
        <v>62</v>
      </c>
      <c r="AP3" s="2" t="s">
        <v>63</v>
      </c>
      <c r="AQ3" s="2" t="s">
        <v>64</v>
      </c>
      <c r="AR3" s="2" t="s">
        <v>65</v>
      </c>
      <c r="AS3" s="2" t="s">
        <v>66</v>
      </c>
      <c r="AT3" s="2" t="s">
        <v>67</v>
      </c>
      <c r="AU3" s="2" t="s">
        <v>68</v>
      </c>
      <c r="AV3" s="2" t="s">
        <v>69</v>
      </c>
      <c r="AW3" s="2" t="s">
        <v>70</v>
      </c>
      <c r="AX3" s="2" t="s">
        <v>71</v>
      </c>
      <c r="AY3" s="2" t="s">
        <v>72</v>
      </c>
      <c r="AZ3" s="2" t="s">
        <v>73</v>
      </c>
      <c r="BA3" s="2" t="s">
        <v>74</v>
      </c>
      <c r="BB3" s="2" t="s">
        <v>75</v>
      </c>
      <c r="BC3" s="2" t="s">
        <v>76</v>
      </c>
      <c r="BD3" s="2" t="s">
        <v>77</v>
      </c>
      <c r="BE3" s="2" t="s">
        <v>78</v>
      </c>
      <c r="BF3" s="2" t="s">
        <v>79</v>
      </c>
      <c r="BG3" s="2" t="s">
        <v>80</v>
      </c>
      <c r="BH3" s="2" t="s">
        <v>81</v>
      </c>
      <c r="BI3" s="2" t="s">
        <v>82</v>
      </c>
      <c r="BJ3" s="2" t="s">
        <v>83</v>
      </c>
      <c r="BK3" s="2" t="s">
        <v>84</v>
      </c>
      <c r="BL3" s="2" t="s">
        <v>85</v>
      </c>
      <c r="BM3" s="2" t="s">
        <v>86</v>
      </c>
      <c r="BN3" s="59" t="s">
        <v>87</v>
      </c>
      <c r="BO3" s="59" t="s">
        <v>88</v>
      </c>
      <c r="BP3" s="59" t="s">
        <v>89</v>
      </c>
      <c r="BQ3" s="59" t="s">
        <v>90</v>
      </c>
      <c r="BR3" s="59" t="s">
        <v>91</v>
      </c>
      <c r="BS3" s="59" t="s">
        <v>92</v>
      </c>
      <c r="BT3" s="59" t="s">
        <v>93</v>
      </c>
      <c r="BU3" s="59" t="s">
        <v>94</v>
      </c>
      <c r="BV3" s="59" t="s">
        <v>95</v>
      </c>
      <c r="BW3" s="59" t="s">
        <v>96</v>
      </c>
      <c r="BX3" s="59" t="s">
        <v>97</v>
      </c>
      <c r="BY3" s="59" t="s">
        <v>98</v>
      </c>
      <c r="BZ3" s="59" t="s">
        <v>99</v>
      </c>
      <c r="CA3" s="59" t="s">
        <v>100</v>
      </c>
      <c r="CB3" s="59" t="s">
        <v>1</v>
      </c>
      <c r="CC3" s="60"/>
      <c r="CD3" s="59"/>
      <c r="CE3" s="59"/>
      <c r="CF3" s="59"/>
      <c r="CG3" s="60" t="s">
        <v>4</v>
      </c>
      <c r="CH3" s="59"/>
      <c r="CI3" s="59"/>
      <c r="CJ3" s="59" t="s">
        <v>101</v>
      </c>
      <c r="CK3" s="59" t="s">
        <v>102</v>
      </c>
      <c r="CL3" s="59" t="s">
        <v>103</v>
      </c>
      <c r="CM3" s="59"/>
      <c r="CN3" s="59"/>
      <c r="CO3" s="59"/>
      <c r="CP3" s="59"/>
      <c r="CQ3" s="59"/>
      <c r="CR3" s="59"/>
      <c r="CS3" s="59"/>
      <c r="CT3" s="59"/>
      <c r="CU3" s="59"/>
      <c r="CV3" s="59"/>
      <c r="CW3" s="59"/>
      <c r="CX3" s="59"/>
    </row>
    <row r="4" spans="1:102" s="46" customFormat="1" ht="12.75" customHeight="1" x14ac:dyDescent="0.3">
      <c r="A4" s="5"/>
      <c r="C4" s="280"/>
      <c r="D4" s="280"/>
      <c r="E4" s="280"/>
      <c r="F4" s="7"/>
      <c r="G4" s="7"/>
      <c r="H4" s="7"/>
      <c r="I4" s="7"/>
      <c r="J4" s="270"/>
      <c r="K4" s="270"/>
      <c r="L4" s="270"/>
      <c r="M4" s="279"/>
      <c r="N4" s="279"/>
      <c r="O4" s="279"/>
      <c r="P4" s="158"/>
      <c r="Q4" s="2"/>
      <c r="R4" s="2"/>
      <c r="S4" s="2"/>
      <c r="T4" s="156"/>
      <c r="U4" s="156"/>
      <c r="V4" s="156"/>
      <c r="W4" s="156"/>
      <c r="X4" s="157"/>
      <c r="Y4" s="157"/>
      <c r="Z4" s="2"/>
      <c r="AA4" s="159">
        <f ca="1">TODAY()</f>
        <v>45757</v>
      </c>
      <c r="AB4" s="2"/>
      <c r="AC4" s="2">
        <f>IF(E10="",1,IF(E10="M",1,IF(E10="H",1,0)))</f>
        <v>1</v>
      </c>
      <c r="AD4" s="2"/>
      <c r="AE4" s="2"/>
      <c r="AF4" s="2"/>
      <c r="AG4" s="2"/>
      <c r="AH4" s="2"/>
      <c r="AI4" s="2"/>
      <c r="AJ4" s="2"/>
      <c r="AK4" s="2">
        <f t="shared" ref="AK4:AK16" si="0">IF(AL4=1,IF($H$37="M",CI4,IF($H$37="H",CE4,IF($H$37="H Invalido",CK4,IF($H$37="M Invalida",CL4,0)))),0)</f>
        <v>0</v>
      </c>
      <c r="AL4" s="2">
        <f>+IF($AB$39=CA4,1,0)</f>
        <v>0</v>
      </c>
      <c r="AM4" s="2">
        <f t="shared" ref="AM4:AM16" si="1">IF(AN4=1,IF($H$36="M",CI4,IF($H$36="H",CE4,IF($H$36="H Invalido",CK4,IF($H$36="M Invalida",CL4,0)))),0)</f>
        <v>0</v>
      </c>
      <c r="AN4" s="2">
        <f t="shared" ref="AN4:AN16" si="2">IF($AB$38=CA4,1,0)</f>
        <v>0</v>
      </c>
      <c r="AO4" s="2">
        <f t="shared" ref="AO4:AO16" si="3">IF(AP4=1,IF($H$35="M",CI4,IF($H$35="H",CE4,IF($H$35="H Invalido",CK4,IF($H$35="M Invalida",CL4,0)))),0)</f>
        <v>0</v>
      </c>
      <c r="AP4" s="2">
        <f t="shared" ref="AP4:AP16" si="4">IF($AB$37=CA4,1,0)</f>
        <v>0</v>
      </c>
      <c r="AQ4" s="2">
        <f t="shared" ref="AQ4:AQ16" si="5">IF(AR4=1,IF($H$34="M",CI4,IF($H$34="H",CE4,IF($H$34="H Invalido",CK4,IF($H$34="M Invalida",CL4,0)))),0)</f>
        <v>0</v>
      </c>
      <c r="AR4" s="2">
        <f t="shared" ref="AR4:AR16" si="6">IF($AB$36=CA4,1,0)</f>
        <v>0</v>
      </c>
      <c r="AS4" s="2">
        <f t="shared" ref="AS4:AS16" si="7">IF(AT4=1,IF($H$33="M",CI4,IF($H$33="H",CE4,IF($H$33="H Invalido",CK4,IF($H$33="M Invalida",CL4,0)))),0)</f>
        <v>0</v>
      </c>
      <c r="AT4" s="2">
        <f t="shared" ref="AT4:AT16" si="8">IF($AB$35=CA4,1,0)</f>
        <v>0</v>
      </c>
      <c r="AU4" s="2">
        <f t="shared" ref="AU4:AU16" si="9">IF(AV4=1,IF($H$32="M",CI4,IF($H$32="H",CE4,IF($H$32="H Invalido",CK4,IF($H$32="M Invalida",CL4,0)))),0)</f>
        <v>0</v>
      </c>
      <c r="AV4" s="2">
        <f t="shared" ref="AV4:AV16" si="10">IF($AB$34=CA4,1,0)</f>
        <v>0</v>
      </c>
      <c r="AW4" s="2">
        <f t="shared" ref="AW4:AW16" si="11">IF(AX4=1,IF($H$31="M",CI4,IF($H$31="H",CE4,IF($H$31="H Invalido",CK4,IF($H$31="M Invalida",CL4,0)))),0)</f>
        <v>0</v>
      </c>
      <c r="AX4" s="2">
        <f t="shared" ref="AX4:AX16" si="12">IF($AB$33=CA4,1,0)</f>
        <v>0</v>
      </c>
      <c r="AY4" s="2">
        <f t="shared" ref="AY4:AY16" si="13">IF(AZ4=1,IF($H$30="M",CI4,IF($H$30="H",CE4,IF($H$30="H Invalido",CK4,IF($H$30="M Invalida",CL4,0)))),0)</f>
        <v>0</v>
      </c>
      <c r="AZ4" s="2">
        <f t="shared" ref="AZ4:AZ16" si="14">IF($AB$32=CA4,1,0)</f>
        <v>0</v>
      </c>
      <c r="BA4" s="2">
        <f t="shared" ref="BA4:BA16" si="15">IF(BB4=1,IF($H$29="M",CI4,IF($H$29="H",CE4,IF($H$29="H Invalido",CK4,IF($H$29="M Invalida",CL4,0)))),0)</f>
        <v>0</v>
      </c>
      <c r="BB4" s="2">
        <f t="shared" ref="BB4:BB16" si="16">IF($AB$31=CA4,1,0)</f>
        <v>0</v>
      </c>
      <c r="BC4" s="2">
        <f t="shared" ref="BC4:BC16" si="17">IF(BD4=1,IF($H$28="M",CI4,IF($H$28="H",CE4,IF($H$28="H Invalido",CK4,IF($H$28="M Invalida",CL4,0)))),0)</f>
        <v>0</v>
      </c>
      <c r="BD4" s="2">
        <f t="shared" ref="BD4:BD16" si="18">IF($AB$30=CA4,1,0)</f>
        <v>0</v>
      </c>
      <c r="BE4" s="2">
        <f t="shared" ref="BE4:BE16" si="19">IF(BF4=1,IF($H$27="M",CI4,IF($H$27="H",CE4,IF($H$27="H Invalido",CK4,IF($H$27="M Invalida",CL4,0)))),0)</f>
        <v>0</v>
      </c>
      <c r="BF4" s="2">
        <f t="shared" ref="BF4:BF16" si="20">IF($AB$29=CA4,1,0)</f>
        <v>0</v>
      </c>
      <c r="BG4" s="2">
        <f t="shared" ref="BG4:BG16" si="21">IF(BH4=1,IF($H$26="M",CI4,IF($H$26="H",CE4,IF($H$26="H Invalido",CK4,IF($H$26="M Invalida",CL4,0)))),0)</f>
        <v>0</v>
      </c>
      <c r="BH4" s="2">
        <f t="shared" ref="BH4:BH16" si="22">IF($AB$28=CA4,1,0)</f>
        <v>0</v>
      </c>
      <c r="BI4" s="2">
        <f t="shared" ref="BI4:BI16" si="23">IF(BJ4=1,IF($H$25="M",CI4,IF($H$25="H",CE4,IF($H$25="H Invalido",CK4,IF($H$25="M Invalida",CL4,0)))),0)</f>
        <v>0</v>
      </c>
      <c r="BJ4" s="2">
        <f t="shared" ref="BJ4:BJ16" si="24">IF($AB$27=CA4,1,0)</f>
        <v>0</v>
      </c>
      <c r="BK4" s="2">
        <f t="shared" ref="BK4:BK16" si="25">IF(BL4=1,IF($H$24="M",CI4,IF($H$24="H",CE4,IF($H$24="H Invalido",CK4,IF($H$24="M Invalida",CL4,0)))),0)</f>
        <v>0</v>
      </c>
      <c r="BL4" s="2">
        <f t="shared" ref="BL4:BL16" si="26">IF($AB$26=CA4,1,0)</f>
        <v>0</v>
      </c>
      <c r="BM4" s="2">
        <f t="shared" ref="BM4:BM16" si="27">IF(BN4=1,IF($H$23="M",CI4,IF($H$23="H",CE4,IF($H$23="H Invalido",CK4,IF($H$23="M Invalida",CL4,0)))),0)</f>
        <v>0</v>
      </c>
      <c r="BN4" s="59">
        <f t="shared" ref="BN4:BN16" si="28">IF($AB$25=CA4,1,0)</f>
        <v>0</v>
      </c>
      <c r="BO4" s="59">
        <f t="shared" ref="BO4:BO16" si="29">IF(BP4=1,IF($H$22="M",CI4,IF($H$22="H",CE4,IF($H$22="H Invalido",CK4,IF($H$22="M Invalida",CL4,0)))),0)</f>
        <v>0</v>
      </c>
      <c r="BP4" s="59">
        <f t="shared" ref="BP4:BP16" si="30">IF($AB$24=CA4,1,0)</f>
        <v>0</v>
      </c>
      <c r="BQ4" s="59">
        <f t="shared" ref="BQ4:BQ16" si="31">IF(BR4=1,IF($H$21="M",CI4,IF($H$21="H",CE4,IF($H$21="H Invalido",CK4,IF($H$21="M Invalida",CL4,0)))),0)</f>
        <v>0</v>
      </c>
      <c r="BR4" s="59">
        <f t="shared" ref="BR4:BR16" si="32">IF($AB$23=CA4,1,0)</f>
        <v>0</v>
      </c>
      <c r="BS4" s="59">
        <f t="shared" ref="BS4:BS16" si="33">IF(BT4=1,IF($H$20="M",CI4,IF($H$20="H",CE4,IF($H$20="H Invalido",CK4,IF($H$20="M Invalida",CL4,0)))),0)</f>
        <v>0</v>
      </c>
      <c r="BT4" s="59">
        <f t="shared" ref="BT4:BT16" si="34">IF($AB$22=CA4,1,0)</f>
        <v>0</v>
      </c>
      <c r="BU4" s="59">
        <f t="shared" ref="BU4:BU16" si="35">IF(BV4=1,IF($H$19="M",CI4,IF($H$19="H",CE4,IF($H$19="H Invalido",CK4,IF($H$19="M Invalida",CL4,0)))),0)</f>
        <v>0</v>
      </c>
      <c r="BV4" s="59">
        <f t="shared" ref="BV4:BV16" si="36">IF($AB$21=CA4,1,0)</f>
        <v>0</v>
      </c>
      <c r="BW4" s="59">
        <f t="shared" ref="BW4:BW16" si="37">IF(BX4=1,IF($H$18="M",CI4,IF($H$18="H",CE4,IF($H$18="H Invalido",CK4,IF($H$18="M Invalida",CL4,0)))),0)</f>
        <v>0</v>
      </c>
      <c r="BX4" s="59">
        <f t="shared" ref="BX4:BX16" si="38">IF($AB$20=CA4,1,0)</f>
        <v>0</v>
      </c>
      <c r="BY4" s="59">
        <f t="shared" ref="BY4:BY16" si="39">IF(BZ4=1,IF($E$10="M",CI4,IF($E$10="H",CE4,IF($E$10="H Invalido",CK4,IF($E$10="M Invalida",CL4,0)))),0)</f>
        <v>0</v>
      </c>
      <c r="BZ4" s="59">
        <f t="shared" ref="BZ4:BZ19" si="40">IF($AB$9=CA4,1,0)</f>
        <v>0</v>
      </c>
      <c r="CA4" s="59">
        <v>0</v>
      </c>
      <c r="CB4" s="59"/>
      <c r="CC4" s="59"/>
      <c r="CD4" s="59"/>
      <c r="CE4" s="59">
        <v>64.8</v>
      </c>
      <c r="CF4" s="59"/>
      <c r="CG4" s="59"/>
      <c r="CH4" s="59"/>
      <c r="CI4" s="59">
        <v>70</v>
      </c>
      <c r="CJ4" s="59">
        <v>0</v>
      </c>
      <c r="CK4" s="59">
        <v>43.83</v>
      </c>
      <c r="CL4" s="59">
        <v>55.38</v>
      </c>
      <c r="CM4" s="59"/>
      <c r="CN4" s="59"/>
      <c r="CO4" s="59"/>
      <c r="CP4" s="59"/>
      <c r="CQ4" s="59"/>
      <c r="CR4" s="59"/>
      <c r="CS4" s="59"/>
      <c r="CT4" s="59"/>
      <c r="CU4" s="59"/>
      <c r="CV4" s="59"/>
      <c r="CW4" s="59"/>
      <c r="CX4" s="59"/>
    </row>
    <row r="5" spans="1:102" s="46" customFormat="1" ht="11.25" customHeight="1" x14ac:dyDescent="0.3">
      <c r="A5" s="5"/>
      <c r="C5" s="9"/>
      <c r="D5" s="9"/>
      <c r="E5" s="9"/>
      <c r="F5" s="11"/>
      <c r="G5" s="12"/>
      <c r="H5" s="12"/>
      <c r="I5" s="12"/>
      <c r="J5" s="12"/>
      <c r="K5" s="9"/>
      <c r="L5" s="9"/>
      <c r="M5" s="9"/>
      <c r="N5" s="35"/>
      <c r="O5" s="35"/>
      <c r="P5" s="160"/>
      <c r="Q5" s="156"/>
      <c r="R5" s="156"/>
      <c r="S5" s="156"/>
      <c r="T5" s="156"/>
      <c r="U5" s="156"/>
      <c r="V5" s="156"/>
      <c r="W5" s="156"/>
      <c r="X5" s="157"/>
      <c r="Y5" s="157"/>
      <c r="Z5" s="2"/>
      <c r="AA5" s="2"/>
      <c r="AB5" s="2"/>
      <c r="AC5" s="2"/>
      <c r="AD5" s="2"/>
      <c r="AE5" s="2"/>
      <c r="AF5" s="159" t="str">
        <f>M3</f>
        <v>FLOR NORALVA OSORIO MARTINEZ</v>
      </c>
      <c r="AG5" s="2"/>
      <c r="AH5" s="2"/>
      <c r="AI5" s="2"/>
      <c r="AJ5" s="2"/>
      <c r="AK5" s="2">
        <f t="shared" si="0"/>
        <v>0</v>
      </c>
      <c r="AL5" s="2">
        <f t="shared" ref="AL5:AL16" si="41">IF($AB$39=CA5,1,0)</f>
        <v>0</v>
      </c>
      <c r="AM5" s="2">
        <f t="shared" si="1"/>
        <v>0</v>
      </c>
      <c r="AN5" s="2">
        <f t="shared" si="2"/>
        <v>0</v>
      </c>
      <c r="AO5" s="2">
        <f t="shared" si="3"/>
        <v>0</v>
      </c>
      <c r="AP5" s="2">
        <f t="shared" si="4"/>
        <v>0</v>
      </c>
      <c r="AQ5" s="2">
        <f t="shared" si="5"/>
        <v>0</v>
      </c>
      <c r="AR5" s="2">
        <f t="shared" si="6"/>
        <v>0</v>
      </c>
      <c r="AS5" s="2">
        <f t="shared" si="7"/>
        <v>0</v>
      </c>
      <c r="AT5" s="2">
        <f t="shared" si="8"/>
        <v>0</v>
      </c>
      <c r="AU5" s="2">
        <f t="shared" si="9"/>
        <v>0</v>
      </c>
      <c r="AV5" s="2">
        <f t="shared" si="10"/>
        <v>0</v>
      </c>
      <c r="AW5" s="2">
        <f t="shared" si="11"/>
        <v>0</v>
      </c>
      <c r="AX5" s="2">
        <f t="shared" si="12"/>
        <v>0</v>
      </c>
      <c r="AY5" s="2">
        <f t="shared" si="13"/>
        <v>0</v>
      </c>
      <c r="AZ5" s="2">
        <f t="shared" si="14"/>
        <v>0</v>
      </c>
      <c r="BA5" s="2">
        <f t="shared" si="15"/>
        <v>0</v>
      </c>
      <c r="BB5" s="2">
        <f t="shared" si="16"/>
        <v>0</v>
      </c>
      <c r="BC5" s="2">
        <f t="shared" si="17"/>
        <v>0</v>
      </c>
      <c r="BD5" s="2">
        <f t="shared" si="18"/>
        <v>0</v>
      </c>
      <c r="BE5" s="2">
        <f t="shared" si="19"/>
        <v>0</v>
      </c>
      <c r="BF5" s="2">
        <f t="shared" si="20"/>
        <v>0</v>
      </c>
      <c r="BG5" s="2">
        <f t="shared" si="21"/>
        <v>0</v>
      </c>
      <c r="BH5" s="2">
        <f t="shared" si="22"/>
        <v>0</v>
      </c>
      <c r="BI5" s="2">
        <f t="shared" si="23"/>
        <v>0</v>
      </c>
      <c r="BJ5" s="2">
        <f t="shared" si="24"/>
        <v>0</v>
      </c>
      <c r="BK5" s="2">
        <f t="shared" si="25"/>
        <v>0</v>
      </c>
      <c r="BL5" s="2">
        <f t="shared" si="26"/>
        <v>0</v>
      </c>
      <c r="BM5" s="2">
        <f t="shared" si="27"/>
        <v>0</v>
      </c>
      <c r="BN5" s="59">
        <f t="shared" si="28"/>
        <v>0</v>
      </c>
      <c r="BO5" s="59">
        <f t="shared" si="29"/>
        <v>0</v>
      </c>
      <c r="BP5" s="59">
        <f t="shared" si="30"/>
        <v>0</v>
      </c>
      <c r="BQ5" s="59">
        <f t="shared" si="31"/>
        <v>0</v>
      </c>
      <c r="BR5" s="59">
        <f t="shared" si="32"/>
        <v>0</v>
      </c>
      <c r="BS5" s="59">
        <f t="shared" si="33"/>
        <v>0</v>
      </c>
      <c r="BT5" s="59">
        <f t="shared" si="34"/>
        <v>0</v>
      </c>
      <c r="BU5" s="59">
        <f t="shared" si="35"/>
        <v>0</v>
      </c>
      <c r="BV5" s="59">
        <f t="shared" si="36"/>
        <v>0</v>
      </c>
      <c r="BW5" s="59">
        <f t="shared" si="37"/>
        <v>0</v>
      </c>
      <c r="BX5" s="59">
        <f t="shared" si="38"/>
        <v>0</v>
      </c>
      <c r="BY5" s="59">
        <f t="shared" si="39"/>
        <v>0</v>
      </c>
      <c r="BZ5" s="59">
        <f t="shared" si="40"/>
        <v>0</v>
      </c>
      <c r="CA5" s="59">
        <v>1</v>
      </c>
      <c r="CB5" s="59"/>
      <c r="CC5" s="59"/>
      <c r="CD5" s="59"/>
      <c r="CE5" s="59">
        <v>64.8</v>
      </c>
      <c r="CF5" s="59"/>
      <c r="CG5" s="59"/>
      <c r="CH5" s="59"/>
      <c r="CI5" s="59">
        <v>70</v>
      </c>
      <c r="CJ5" s="59">
        <v>1</v>
      </c>
      <c r="CK5" s="59">
        <v>43.47</v>
      </c>
      <c r="CL5" s="59">
        <v>54.88</v>
      </c>
      <c r="CM5" s="59"/>
      <c r="CN5" s="59"/>
      <c r="CO5" s="59"/>
      <c r="CP5" s="59"/>
      <c r="CQ5" s="59"/>
      <c r="CR5" s="59"/>
      <c r="CS5" s="59"/>
      <c r="CT5" s="59"/>
      <c r="CU5" s="59"/>
      <c r="CV5" s="59"/>
      <c r="CW5" s="59"/>
      <c r="CX5" s="59"/>
    </row>
    <row r="6" spans="1:102" s="46" customFormat="1" ht="12.75" customHeight="1" x14ac:dyDescent="0.3">
      <c r="A6" s="5"/>
      <c r="C6" s="264" t="s">
        <v>398</v>
      </c>
      <c r="D6" s="264"/>
      <c r="E6" s="86">
        <v>2201122025509</v>
      </c>
      <c r="F6" s="11"/>
      <c r="G6" s="277" t="s">
        <v>378</v>
      </c>
      <c r="H6" s="277"/>
      <c r="I6" s="277"/>
      <c r="J6" s="277"/>
      <c r="K6" s="274">
        <f>AB85</f>
        <v>1000000</v>
      </c>
      <c r="L6" s="14"/>
      <c r="M6" s="50"/>
      <c r="N6" s="50"/>
      <c r="O6" s="35"/>
      <c r="P6" s="160"/>
      <c r="Q6" s="278"/>
      <c r="R6" s="278"/>
      <c r="S6" s="278"/>
      <c r="T6" s="161"/>
      <c r="U6" s="162"/>
      <c r="V6" s="162"/>
      <c r="W6" s="156"/>
      <c r="X6" s="157"/>
      <c r="Y6" s="157"/>
      <c r="Z6" s="2"/>
      <c r="AA6" s="159"/>
      <c r="AB6" s="2"/>
      <c r="AC6" s="2"/>
      <c r="AD6" s="2"/>
      <c r="AE6" s="2" t="str">
        <f>IF(AB10=1," mes"," meses")</f>
        <v xml:space="preserve"> meses</v>
      </c>
      <c r="AF6" s="2" t="str">
        <f>CONCATENATE(AB9," años y ",AB10,AE6)</f>
        <v>60 años y 0 meses</v>
      </c>
      <c r="AG6" s="2"/>
      <c r="AH6" s="2"/>
      <c r="AI6" s="2"/>
      <c r="AJ6" s="2"/>
      <c r="AK6" s="2">
        <f t="shared" si="0"/>
        <v>0</v>
      </c>
      <c r="AL6" s="2">
        <f t="shared" si="41"/>
        <v>0</v>
      </c>
      <c r="AM6" s="2">
        <f t="shared" si="1"/>
        <v>0</v>
      </c>
      <c r="AN6" s="2">
        <f t="shared" si="2"/>
        <v>0</v>
      </c>
      <c r="AO6" s="2">
        <f t="shared" si="3"/>
        <v>0</v>
      </c>
      <c r="AP6" s="2">
        <f t="shared" si="4"/>
        <v>0</v>
      </c>
      <c r="AQ6" s="2">
        <f t="shared" si="5"/>
        <v>0</v>
      </c>
      <c r="AR6" s="2">
        <f t="shared" si="6"/>
        <v>0</v>
      </c>
      <c r="AS6" s="2">
        <f t="shared" si="7"/>
        <v>0</v>
      </c>
      <c r="AT6" s="2">
        <f t="shared" si="8"/>
        <v>0</v>
      </c>
      <c r="AU6" s="2">
        <f t="shared" si="9"/>
        <v>0</v>
      </c>
      <c r="AV6" s="2">
        <f t="shared" si="10"/>
        <v>0</v>
      </c>
      <c r="AW6" s="2">
        <f t="shared" si="11"/>
        <v>0</v>
      </c>
      <c r="AX6" s="2">
        <f t="shared" si="12"/>
        <v>0</v>
      </c>
      <c r="AY6" s="2">
        <f t="shared" si="13"/>
        <v>0</v>
      </c>
      <c r="AZ6" s="2">
        <f t="shared" si="14"/>
        <v>0</v>
      </c>
      <c r="BA6" s="2">
        <f t="shared" si="15"/>
        <v>0</v>
      </c>
      <c r="BB6" s="2">
        <f t="shared" si="16"/>
        <v>0</v>
      </c>
      <c r="BC6" s="2">
        <f t="shared" si="17"/>
        <v>0</v>
      </c>
      <c r="BD6" s="2">
        <f t="shared" si="18"/>
        <v>0</v>
      </c>
      <c r="BE6" s="2">
        <f t="shared" si="19"/>
        <v>0</v>
      </c>
      <c r="BF6" s="2">
        <f t="shared" si="20"/>
        <v>0</v>
      </c>
      <c r="BG6" s="2">
        <f t="shared" si="21"/>
        <v>0</v>
      </c>
      <c r="BH6" s="2">
        <f t="shared" si="22"/>
        <v>0</v>
      </c>
      <c r="BI6" s="2">
        <f t="shared" si="23"/>
        <v>0</v>
      </c>
      <c r="BJ6" s="2">
        <f t="shared" si="24"/>
        <v>0</v>
      </c>
      <c r="BK6" s="2">
        <f t="shared" si="25"/>
        <v>0</v>
      </c>
      <c r="BL6" s="2">
        <f t="shared" si="26"/>
        <v>0</v>
      </c>
      <c r="BM6" s="2">
        <f t="shared" si="27"/>
        <v>0</v>
      </c>
      <c r="BN6" s="59">
        <f t="shared" si="28"/>
        <v>0</v>
      </c>
      <c r="BO6" s="59">
        <f t="shared" si="29"/>
        <v>0</v>
      </c>
      <c r="BP6" s="59">
        <f t="shared" si="30"/>
        <v>0</v>
      </c>
      <c r="BQ6" s="59">
        <f t="shared" si="31"/>
        <v>0</v>
      </c>
      <c r="BR6" s="59">
        <f t="shared" si="32"/>
        <v>0</v>
      </c>
      <c r="BS6" s="59">
        <f t="shared" si="33"/>
        <v>0</v>
      </c>
      <c r="BT6" s="59">
        <f t="shared" si="34"/>
        <v>0</v>
      </c>
      <c r="BU6" s="59">
        <f t="shared" si="35"/>
        <v>0</v>
      </c>
      <c r="BV6" s="59">
        <f t="shared" si="36"/>
        <v>0</v>
      </c>
      <c r="BW6" s="59">
        <f t="shared" si="37"/>
        <v>0</v>
      </c>
      <c r="BX6" s="59">
        <f t="shared" si="38"/>
        <v>0</v>
      </c>
      <c r="BY6" s="59">
        <f t="shared" si="39"/>
        <v>0</v>
      </c>
      <c r="BZ6" s="59">
        <f>IF($AB$9=CA6,1,0)</f>
        <v>0</v>
      </c>
      <c r="CA6" s="59">
        <v>2</v>
      </c>
      <c r="CB6" s="59"/>
      <c r="CC6" s="59"/>
      <c r="CD6" s="59"/>
      <c r="CE6" s="59">
        <v>64.8</v>
      </c>
      <c r="CF6" s="59"/>
      <c r="CG6" s="59"/>
      <c r="CH6" s="59"/>
      <c r="CI6" s="59">
        <v>70</v>
      </c>
      <c r="CJ6" s="59">
        <v>2</v>
      </c>
      <c r="CK6" s="59">
        <v>43.11</v>
      </c>
      <c r="CL6" s="59">
        <v>54.38</v>
      </c>
      <c r="CM6" s="59"/>
      <c r="CN6" s="59"/>
      <c r="CO6" s="59"/>
      <c r="CP6" s="59"/>
      <c r="CQ6" s="59"/>
      <c r="CR6" s="59"/>
      <c r="CS6" s="59"/>
      <c r="CT6" s="59"/>
      <c r="CU6" s="59"/>
      <c r="CV6" s="59"/>
      <c r="CW6" s="59"/>
      <c r="CX6" s="59"/>
    </row>
    <row r="7" spans="1:102" s="46" customFormat="1" ht="12.75" customHeight="1" x14ac:dyDescent="0.3">
      <c r="A7" s="5"/>
      <c r="C7" s="264" t="s">
        <v>373</v>
      </c>
      <c r="D7" s="264"/>
      <c r="E7" s="86">
        <v>220111552300871</v>
      </c>
      <c r="F7" s="15"/>
      <c r="G7" s="277"/>
      <c r="H7" s="277"/>
      <c r="I7" s="277"/>
      <c r="J7" s="277"/>
      <c r="K7" s="274"/>
      <c r="L7" s="9"/>
      <c r="M7" s="50"/>
      <c r="N7" s="50"/>
      <c r="O7" s="35"/>
      <c r="P7" s="163"/>
      <c r="Q7" s="162"/>
      <c r="R7" s="162"/>
      <c r="S7" s="162"/>
      <c r="T7" s="162"/>
      <c r="U7" s="162"/>
      <c r="V7" s="162"/>
      <c r="W7" s="156"/>
      <c r="X7" s="157"/>
      <c r="Y7" s="157"/>
      <c r="Z7" s="2"/>
      <c r="AA7" s="2"/>
      <c r="AB7" s="2"/>
      <c r="AC7" s="2"/>
      <c r="AD7" s="2">
        <f ca="1">(AA4-E9)/365.25</f>
        <v>3.2416153319644079</v>
      </c>
      <c r="AE7" s="2"/>
      <c r="AF7" s="2"/>
      <c r="AG7" s="2"/>
      <c r="AH7" s="2"/>
      <c r="AI7" s="2"/>
      <c r="AJ7" s="2"/>
      <c r="AK7" s="2">
        <f t="shared" si="0"/>
        <v>0</v>
      </c>
      <c r="AL7" s="2">
        <f t="shared" si="41"/>
        <v>0</v>
      </c>
      <c r="AM7" s="2">
        <f t="shared" si="1"/>
        <v>0</v>
      </c>
      <c r="AN7" s="2">
        <f t="shared" si="2"/>
        <v>0</v>
      </c>
      <c r="AO7" s="2">
        <f t="shared" si="3"/>
        <v>0</v>
      </c>
      <c r="AP7" s="2">
        <f t="shared" si="4"/>
        <v>0</v>
      </c>
      <c r="AQ7" s="2">
        <f t="shared" si="5"/>
        <v>0</v>
      </c>
      <c r="AR7" s="2">
        <f t="shared" si="6"/>
        <v>0</v>
      </c>
      <c r="AS7" s="2">
        <f t="shared" si="7"/>
        <v>0</v>
      </c>
      <c r="AT7" s="2">
        <f t="shared" si="8"/>
        <v>0</v>
      </c>
      <c r="AU7" s="2">
        <f t="shared" si="9"/>
        <v>0</v>
      </c>
      <c r="AV7" s="2">
        <f t="shared" si="10"/>
        <v>0</v>
      </c>
      <c r="AW7" s="2">
        <f t="shared" si="11"/>
        <v>0</v>
      </c>
      <c r="AX7" s="2">
        <f t="shared" si="12"/>
        <v>0</v>
      </c>
      <c r="AY7" s="2">
        <f t="shared" si="13"/>
        <v>0</v>
      </c>
      <c r="AZ7" s="2">
        <f t="shared" si="14"/>
        <v>0</v>
      </c>
      <c r="BA7" s="2">
        <f t="shared" si="15"/>
        <v>0</v>
      </c>
      <c r="BB7" s="2">
        <f t="shared" si="16"/>
        <v>0</v>
      </c>
      <c r="BC7" s="2">
        <f t="shared" si="17"/>
        <v>0</v>
      </c>
      <c r="BD7" s="2">
        <f t="shared" si="18"/>
        <v>0</v>
      </c>
      <c r="BE7" s="2">
        <f t="shared" si="19"/>
        <v>0</v>
      </c>
      <c r="BF7" s="2">
        <f t="shared" si="20"/>
        <v>0</v>
      </c>
      <c r="BG7" s="2">
        <f t="shared" si="21"/>
        <v>0</v>
      </c>
      <c r="BH7" s="2">
        <f t="shared" si="22"/>
        <v>0</v>
      </c>
      <c r="BI7" s="2">
        <f t="shared" si="23"/>
        <v>0</v>
      </c>
      <c r="BJ7" s="2">
        <f t="shared" si="24"/>
        <v>0</v>
      </c>
      <c r="BK7" s="2">
        <f t="shared" si="25"/>
        <v>0</v>
      </c>
      <c r="BL7" s="2">
        <f t="shared" si="26"/>
        <v>0</v>
      </c>
      <c r="BM7" s="2">
        <f t="shared" si="27"/>
        <v>0</v>
      </c>
      <c r="BN7" s="59">
        <f t="shared" si="28"/>
        <v>0</v>
      </c>
      <c r="BO7" s="59">
        <f t="shared" si="29"/>
        <v>0</v>
      </c>
      <c r="BP7" s="59">
        <f t="shared" si="30"/>
        <v>0</v>
      </c>
      <c r="BQ7" s="59">
        <f t="shared" si="31"/>
        <v>0</v>
      </c>
      <c r="BR7" s="59">
        <f t="shared" si="32"/>
        <v>0</v>
      </c>
      <c r="BS7" s="59">
        <f t="shared" si="33"/>
        <v>0</v>
      </c>
      <c r="BT7" s="59">
        <f t="shared" si="34"/>
        <v>0</v>
      </c>
      <c r="BU7" s="59">
        <f t="shared" si="35"/>
        <v>0</v>
      </c>
      <c r="BV7" s="59">
        <f t="shared" si="36"/>
        <v>0</v>
      </c>
      <c r="BW7" s="59">
        <f t="shared" si="37"/>
        <v>0</v>
      </c>
      <c r="BX7" s="59">
        <f t="shared" si="38"/>
        <v>0</v>
      </c>
      <c r="BY7" s="59">
        <f t="shared" si="39"/>
        <v>0</v>
      </c>
      <c r="BZ7" s="59">
        <f t="shared" si="40"/>
        <v>0</v>
      </c>
      <c r="CA7" s="59">
        <v>3</v>
      </c>
      <c r="CB7" s="59"/>
      <c r="CC7" s="59"/>
      <c r="CD7" s="59"/>
      <c r="CE7" s="59">
        <v>64.8</v>
      </c>
      <c r="CF7" s="59"/>
      <c r="CG7" s="59"/>
      <c r="CH7" s="59"/>
      <c r="CI7" s="59">
        <v>70</v>
      </c>
      <c r="CJ7" s="59">
        <v>3</v>
      </c>
      <c r="CK7" s="59">
        <v>42.75</v>
      </c>
      <c r="CL7" s="59">
        <v>53.87</v>
      </c>
      <c r="CM7" s="59"/>
      <c r="CN7" s="59"/>
      <c r="CO7" s="59"/>
      <c r="CP7" s="59"/>
      <c r="CQ7" s="59"/>
      <c r="CR7" s="59"/>
      <c r="CS7" s="59"/>
      <c r="CT7" s="59"/>
      <c r="CU7" s="59"/>
      <c r="CV7" s="59"/>
      <c r="CW7" s="59"/>
      <c r="CX7" s="59"/>
    </row>
    <row r="8" spans="1:102" s="46" customFormat="1" ht="12.75" customHeight="1" x14ac:dyDescent="0.3">
      <c r="A8" s="5"/>
      <c r="C8" s="264" t="s">
        <v>105</v>
      </c>
      <c r="D8" s="264"/>
      <c r="E8" s="82">
        <v>22650</v>
      </c>
      <c r="F8" s="36"/>
      <c r="G8" s="273" t="s">
        <v>394</v>
      </c>
      <c r="H8" s="273"/>
      <c r="I8" s="273"/>
      <c r="J8" s="273"/>
      <c r="K8" s="274">
        <f>AB86</f>
        <v>870000</v>
      </c>
      <c r="L8" s="17"/>
      <c r="M8" s="50"/>
      <c r="N8" s="50"/>
      <c r="O8" s="35"/>
      <c r="P8" s="163"/>
      <c r="Q8" s="164"/>
      <c r="R8" s="164"/>
      <c r="S8" s="164"/>
      <c r="T8" s="164"/>
      <c r="U8" s="164"/>
      <c r="V8" s="164"/>
      <c r="W8" s="164"/>
      <c r="X8" s="165"/>
      <c r="Y8" s="165"/>
      <c r="Z8" s="166"/>
      <c r="AA8" s="2"/>
      <c r="AB8" s="2"/>
      <c r="AC8" s="2"/>
      <c r="AD8" s="2">
        <f ca="1">INT(AD7*12)</f>
        <v>38</v>
      </c>
      <c r="AE8" s="2"/>
      <c r="AF8" s="2"/>
      <c r="AG8" s="2"/>
      <c r="AH8" s="2"/>
      <c r="AI8" s="2"/>
      <c r="AJ8" s="2"/>
      <c r="AK8" s="2">
        <f t="shared" si="0"/>
        <v>0</v>
      </c>
      <c r="AL8" s="2">
        <f t="shared" si="41"/>
        <v>0</v>
      </c>
      <c r="AM8" s="2">
        <f t="shared" si="1"/>
        <v>0</v>
      </c>
      <c r="AN8" s="2">
        <f t="shared" si="2"/>
        <v>0</v>
      </c>
      <c r="AO8" s="2">
        <f t="shared" si="3"/>
        <v>0</v>
      </c>
      <c r="AP8" s="2">
        <f t="shared" si="4"/>
        <v>0</v>
      </c>
      <c r="AQ8" s="2">
        <f t="shared" si="5"/>
        <v>0</v>
      </c>
      <c r="AR8" s="2">
        <f t="shared" si="6"/>
        <v>0</v>
      </c>
      <c r="AS8" s="2">
        <f t="shared" si="7"/>
        <v>0</v>
      </c>
      <c r="AT8" s="2">
        <f t="shared" si="8"/>
        <v>0</v>
      </c>
      <c r="AU8" s="2">
        <f t="shared" si="9"/>
        <v>0</v>
      </c>
      <c r="AV8" s="2">
        <f t="shared" si="10"/>
        <v>0</v>
      </c>
      <c r="AW8" s="2">
        <f t="shared" si="11"/>
        <v>0</v>
      </c>
      <c r="AX8" s="2">
        <f t="shared" si="12"/>
        <v>0</v>
      </c>
      <c r="AY8" s="2">
        <f t="shared" si="13"/>
        <v>0</v>
      </c>
      <c r="AZ8" s="2">
        <f t="shared" si="14"/>
        <v>0</v>
      </c>
      <c r="BA8" s="2">
        <f t="shared" si="15"/>
        <v>0</v>
      </c>
      <c r="BB8" s="2">
        <f t="shared" si="16"/>
        <v>0</v>
      </c>
      <c r="BC8" s="2">
        <f t="shared" si="17"/>
        <v>0</v>
      </c>
      <c r="BD8" s="2">
        <f t="shared" si="18"/>
        <v>0</v>
      </c>
      <c r="BE8" s="2">
        <f t="shared" si="19"/>
        <v>0</v>
      </c>
      <c r="BF8" s="2">
        <f t="shared" si="20"/>
        <v>0</v>
      </c>
      <c r="BG8" s="2">
        <f t="shared" si="21"/>
        <v>0</v>
      </c>
      <c r="BH8" s="2">
        <f t="shared" si="22"/>
        <v>0</v>
      </c>
      <c r="BI8" s="2">
        <f t="shared" si="23"/>
        <v>0</v>
      </c>
      <c r="BJ8" s="2">
        <f t="shared" si="24"/>
        <v>0</v>
      </c>
      <c r="BK8" s="2">
        <f t="shared" si="25"/>
        <v>0</v>
      </c>
      <c r="BL8" s="2">
        <f t="shared" si="26"/>
        <v>0</v>
      </c>
      <c r="BM8" s="2">
        <f t="shared" si="27"/>
        <v>0</v>
      </c>
      <c r="BN8" s="59">
        <f t="shared" si="28"/>
        <v>0</v>
      </c>
      <c r="BO8" s="59">
        <f t="shared" si="29"/>
        <v>0</v>
      </c>
      <c r="BP8" s="59">
        <f t="shared" si="30"/>
        <v>0</v>
      </c>
      <c r="BQ8" s="59">
        <f t="shared" si="31"/>
        <v>0</v>
      </c>
      <c r="BR8" s="59">
        <f t="shared" si="32"/>
        <v>0</v>
      </c>
      <c r="BS8" s="59">
        <f t="shared" si="33"/>
        <v>0</v>
      </c>
      <c r="BT8" s="59">
        <f t="shared" si="34"/>
        <v>0</v>
      </c>
      <c r="BU8" s="59">
        <f t="shared" si="35"/>
        <v>0</v>
      </c>
      <c r="BV8" s="59">
        <f t="shared" si="36"/>
        <v>0</v>
      </c>
      <c r="BW8" s="59">
        <f t="shared" si="37"/>
        <v>0</v>
      </c>
      <c r="BX8" s="59">
        <f t="shared" si="38"/>
        <v>0</v>
      </c>
      <c r="BY8" s="59">
        <f t="shared" si="39"/>
        <v>0</v>
      </c>
      <c r="BZ8" s="59">
        <f t="shared" si="40"/>
        <v>0</v>
      </c>
      <c r="CA8" s="59">
        <v>4</v>
      </c>
      <c r="CB8" s="59"/>
      <c r="CC8" s="59"/>
      <c r="CD8" s="59"/>
      <c r="CE8" s="59">
        <v>64.8</v>
      </c>
      <c r="CF8" s="59"/>
      <c r="CG8" s="59"/>
      <c r="CH8" s="59"/>
      <c r="CI8" s="59">
        <v>70</v>
      </c>
      <c r="CJ8" s="59">
        <v>4</v>
      </c>
      <c r="CK8" s="59">
        <v>42.39</v>
      </c>
      <c r="CL8" s="59">
        <v>53.37</v>
      </c>
      <c r="CM8" s="59"/>
      <c r="CN8" s="59"/>
      <c r="CO8" s="59"/>
      <c r="CP8" s="59"/>
      <c r="CQ8" s="59"/>
      <c r="CR8" s="59"/>
      <c r="CS8" s="59"/>
      <c r="CT8" s="59"/>
      <c r="CU8" s="59"/>
      <c r="CV8" s="59"/>
      <c r="CW8" s="59"/>
      <c r="CX8" s="59"/>
    </row>
    <row r="9" spans="1:102" s="46" customFormat="1" ht="12.75" customHeight="1" x14ac:dyDescent="0.3">
      <c r="A9" s="5"/>
      <c r="C9" s="264" t="s">
        <v>106</v>
      </c>
      <c r="D9" s="264"/>
      <c r="E9" s="54">
        <v>44573</v>
      </c>
      <c r="F9" s="36"/>
      <c r="G9" s="273"/>
      <c r="H9" s="273"/>
      <c r="I9" s="273"/>
      <c r="J9" s="273"/>
      <c r="K9" s="274"/>
      <c r="L9" s="9"/>
      <c r="M9" s="50"/>
      <c r="N9" s="50"/>
      <c r="O9" s="35"/>
      <c r="P9" s="167"/>
      <c r="Q9" s="164"/>
      <c r="R9" s="164"/>
      <c r="S9" s="164"/>
      <c r="T9" s="164"/>
      <c r="U9" s="164"/>
      <c r="V9" s="164"/>
      <c r="W9" s="164"/>
      <c r="X9" s="157"/>
      <c r="Y9" s="157"/>
      <c r="Z9" s="2"/>
      <c r="AA9" s="2">
        <f>IF(E8="",IF(E9="",0,(E9-E8)/365.25),IF(E9="",0,(E9-E8)/365.25))</f>
        <v>60.021902806297057</v>
      </c>
      <c r="AB9" s="2">
        <f>INT(AA9)</f>
        <v>60</v>
      </c>
      <c r="AC9" s="2" t="s">
        <v>6</v>
      </c>
      <c r="AD9" s="2"/>
      <c r="AE9" s="2"/>
      <c r="AF9" s="2"/>
      <c r="AG9" s="2"/>
      <c r="AH9" s="2"/>
      <c r="AI9" s="2"/>
      <c r="AJ9" s="2"/>
      <c r="AK9" s="2">
        <f t="shared" si="0"/>
        <v>0</v>
      </c>
      <c r="AL9" s="2">
        <f t="shared" si="41"/>
        <v>0</v>
      </c>
      <c r="AM9" s="2">
        <f t="shared" si="1"/>
        <v>0</v>
      </c>
      <c r="AN9" s="2">
        <f t="shared" si="2"/>
        <v>0</v>
      </c>
      <c r="AO9" s="2">
        <f t="shared" si="3"/>
        <v>0</v>
      </c>
      <c r="AP9" s="2">
        <f t="shared" si="4"/>
        <v>0</v>
      </c>
      <c r="AQ9" s="2">
        <f t="shared" si="5"/>
        <v>0</v>
      </c>
      <c r="AR9" s="2">
        <f t="shared" si="6"/>
        <v>0</v>
      </c>
      <c r="AS9" s="2">
        <f t="shared" si="7"/>
        <v>0</v>
      </c>
      <c r="AT9" s="2">
        <f t="shared" si="8"/>
        <v>0</v>
      </c>
      <c r="AU9" s="2">
        <f t="shared" si="9"/>
        <v>0</v>
      </c>
      <c r="AV9" s="2">
        <f t="shared" si="10"/>
        <v>0</v>
      </c>
      <c r="AW9" s="2">
        <f t="shared" si="11"/>
        <v>0</v>
      </c>
      <c r="AX9" s="2">
        <f t="shared" si="12"/>
        <v>0</v>
      </c>
      <c r="AY9" s="2">
        <f t="shared" si="13"/>
        <v>0</v>
      </c>
      <c r="AZ9" s="2">
        <f t="shared" si="14"/>
        <v>0</v>
      </c>
      <c r="BA9" s="2">
        <f t="shared" si="15"/>
        <v>0</v>
      </c>
      <c r="BB9" s="2">
        <f t="shared" si="16"/>
        <v>0</v>
      </c>
      <c r="BC9" s="2">
        <f t="shared" si="17"/>
        <v>0</v>
      </c>
      <c r="BD9" s="2">
        <f t="shared" si="18"/>
        <v>0</v>
      </c>
      <c r="BE9" s="2">
        <f t="shared" si="19"/>
        <v>0</v>
      </c>
      <c r="BF9" s="2">
        <f t="shared" si="20"/>
        <v>0</v>
      </c>
      <c r="BG9" s="2">
        <f t="shared" si="21"/>
        <v>0</v>
      </c>
      <c r="BH9" s="2">
        <f t="shared" si="22"/>
        <v>0</v>
      </c>
      <c r="BI9" s="2">
        <f t="shared" si="23"/>
        <v>0</v>
      </c>
      <c r="BJ9" s="2">
        <f t="shared" si="24"/>
        <v>0</v>
      </c>
      <c r="BK9" s="2">
        <f t="shared" si="25"/>
        <v>0</v>
      </c>
      <c r="BL9" s="2">
        <f t="shared" si="26"/>
        <v>0</v>
      </c>
      <c r="BM9" s="2">
        <f t="shared" si="27"/>
        <v>0</v>
      </c>
      <c r="BN9" s="59">
        <f t="shared" si="28"/>
        <v>0</v>
      </c>
      <c r="BO9" s="59">
        <f t="shared" si="29"/>
        <v>0</v>
      </c>
      <c r="BP9" s="59">
        <f t="shared" si="30"/>
        <v>0</v>
      </c>
      <c r="BQ9" s="59">
        <f t="shared" si="31"/>
        <v>0</v>
      </c>
      <c r="BR9" s="59">
        <f t="shared" si="32"/>
        <v>0</v>
      </c>
      <c r="BS9" s="59">
        <f t="shared" si="33"/>
        <v>0</v>
      </c>
      <c r="BT9" s="59">
        <f t="shared" si="34"/>
        <v>0</v>
      </c>
      <c r="BU9" s="59">
        <f t="shared" si="35"/>
        <v>0</v>
      </c>
      <c r="BV9" s="59">
        <f t="shared" si="36"/>
        <v>0</v>
      </c>
      <c r="BW9" s="59">
        <f t="shared" si="37"/>
        <v>0</v>
      </c>
      <c r="BX9" s="59">
        <f t="shared" si="38"/>
        <v>0</v>
      </c>
      <c r="BY9" s="59">
        <f t="shared" si="39"/>
        <v>0</v>
      </c>
      <c r="BZ9" s="59">
        <f t="shared" si="40"/>
        <v>0</v>
      </c>
      <c r="CA9" s="59">
        <v>5</v>
      </c>
      <c r="CB9" s="59"/>
      <c r="CC9" s="59"/>
      <c r="CD9" s="59"/>
      <c r="CE9" s="59">
        <v>64.8</v>
      </c>
      <c r="CF9" s="59"/>
      <c r="CG9" s="59"/>
      <c r="CH9" s="59"/>
      <c r="CI9" s="59">
        <v>70</v>
      </c>
      <c r="CJ9" s="59">
        <v>5</v>
      </c>
      <c r="CK9" s="59">
        <v>42.02</v>
      </c>
      <c r="CL9" s="59">
        <v>52.85</v>
      </c>
      <c r="CM9" s="59"/>
      <c r="CN9" s="59"/>
      <c r="CO9" s="59"/>
      <c r="CP9" s="59"/>
      <c r="CQ9" s="59"/>
      <c r="CR9" s="59"/>
      <c r="CS9" s="59"/>
      <c r="CT9" s="59"/>
      <c r="CU9" s="59"/>
      <c r="CV9" s="59"/>
      <c r="CW9" s="59"/>
      <c r="CX9" s="59"/>
    </row>
    <row r="10" spans="1:102" s="46" customFormat="1" ht="12.75" customHeight="1" x14ac:dyDescent="0.3">
      <c r="A10" s="5"/>
      <c r="C10" s="264" t="s">
        <v>390</v>
      </c>
      <c r="D10" s="264"/>
      <c r="E10" s="52" t="s">
        <v>55</v>
      </c>
      <c r="F10" s="37"/>
      <c r="G10" s="270" t="s">
        <v>377</v>
      </c>
      <c r="H10" s="270"/>
      <c r="I10" s="270"/>
      <c r="J10" s="270"/>
      <c r="K10" s="271" t="str">
        <f>AA13</f>
        <v xml:space="preserve">60 años, 0 meses, y 7 dias </v>
      </c>
      <c r="L10" s="9"/>
      <c r="M10" s="23"/>
      <c r="N10" s="23"/>
      <c r="O10" s="35"/>
      <c r="P10" s="167"/>
      <c r="Q10" s="164"/>
      <c r="R10" s="164"/>
      <c r="S10" s="164"/>
      <c r="T10" s="164"/>
      <c r="U10" s="164"/>
      <c r="V10" s="164"/>
      <c r="W10" s="164"/>
      <c r="X10" s="157"/>
      <c r="Y10" s="157"/>
      <c r="Z10" s="2"/>
      <c r="AA10" s="2">
        <f>+(AA9-AB9)*12</f>
        <v>0.26283367556467852</v>
      </c>
      <c r="AB10" s="2">
        <f>INT(AA10)</f>
        <v>0</v>
      </c>
      <c r="AC10" s="2" t="str">
        <f>IF(AB10=1," mes, y "," meses, y ")</f>
        <v xml:space="preserve"> meses, y </v>
      </c>
      <c r="AD10" s="2"/>
      <c r="AE10" s="2"/>
      <c r="AF10" s="2"/>
      <c r="AG10" s="2"/>
      <c r="AH10" s="2"/>
      <c r="AI10" s="2"/>
      <c r="AJ10" s="2"/>
      <c r="AK10" s="2">
        <f t="shared" si="0"/>
        <v>0</v>
      </c>
      <c r="AL10" s="2">
        <f t="shared" si="41"/>
        <v>0</v>
      </c>
      <c r="AM10" s="2">
        <f t="shared" si="1"/>
        <v>0</v>
      </c>
      <c r="AN10" s="2">
        <f t="shared" si="2"/>
        <v>0</v>
      </c>
      <c r="AO10" s="2">
        <f t="shared" si="3"/>
        <v>0</v>
      </c>
      <c r="AP10" s="2">
        <f t="shared" si="4"/>
        <v>0</v>
      </c>
      <c r="AQ10" s="2">
        <f t="shared" si="5"/>
        <v>0</v>
      </c>
      <c r="AR10" s="2">
        <f t="shared" si="6"/>
        <v>0</v>
      </c>
      <c r="AS10" s="2">
        <f t="shared" si="7"/>
        <v>0</v>
      </c>
      <c r="AT10" s="2">
        <f t="shared" si="8"/>
        <v>0</v>
      </c>
      <c r="AU10" s="2">
        <f t="shared" si="9"/>
        <v>0</v>
      </c>
      <c r="AV10" s="2">
        <f t="shared" si="10"/>
        <v>0</v>
      </c>
      <c r="AW10" s="2">
        <f t="shared" si="11"/>
        <v>0</v>
      </c>
      <c r="AX10" s="2">
        <f t="shared" si="12"/>
        <v>0</v>
      </c>
      <c r="AY10" s="2">
        <f t="shared" si="13"/>
        <v>0</v>
      </c>
      <c r="AZ10" s="2">
        <f t="shared" si="14"/>
        <v>0</v>
      </c>
      <c r="BA10" s="2">
        <f t="shared" si="15"/>
        <v>0</v>
      </c>
      <c r="BB10" s="2">
        <f t="shared" si="16"/>
        <v>0</v>
      </c>
      <c r="BC10" s="2">
        <f t="shared" si="17"/>
        <v>0</v>
      </c>
      <c r="BD10" s="2">
        <f t="shared" si="18"/>
        <v>0</v>
      </c>
      <c r="BE10" s="2">
        <f t="shared" si="19"/>
        <v>0</v>
      </c>
      <c r="BF10" s="2">
        <f t="shared" si="20"/>
        <v>0</v>
      </c>
      <c r="BG10" s="2">
        <f t="shared" si="21"/>
        <v>0</v>
      </c>
      <c r="BH10" s="2">
        <f t="shared" si="22"/>
        <v>0</v>
      </c>
      <c r="BI10" s="2">
        <f t="shared" si="23"/>
        <v>0</v>
      </c>
      <c r="BJ10" s="2">
        <f t="shared" si="24"/>
        <v>0</v>
      </c>
      <c r="BK10" s="2">
        <f t="shared" si="25"/>
        <v>0</v>
      </c>
      <c r="BL10" s="2">
        <f t="shared" si="26"/>
        <v>0</v>
      </c>
      <c r="BM10" s="2">
        <f t="shared" si="27"/>
        <v>0</v>
      </c>
      <c r="BN10" s="59">
        <f t="shared" si="28"/>
        <v>0</v>
      </c>
      <c r="BO10" s="59">
        <f t="shared" si="29"/>
        <v>0</v>
      </c>
      <c r="BP10" s="59">
        <f t="shared" si="30"/>
        <v>0</v>
      </c>
      <c r="BQ10" s="59">
        <f t="shared" si="31"/>
        <v>0</v>
      </c>
      <c r="BR10" s="59">
        <f t="shared" si="32"/>
        <v>0</v>
      </c>
      <c r="BS10" s="59">
        <f t="shared" si="33"/>
        <v>0</v>
      </c>
      <c r="BT10" s="59">
        <f t="shared" si="34"/>
        <v>0</v>
      </c>
      <c r="BU10" s="59">
        <f t="shared" si="35"/>
        <v>0</v>
      </c>
      <c r="BV10" s="59">
        <f t="shared" si="36"/>
        <v>0</v>
      </c>
      <c r="BW10" s="59">
        <f t="shared" si="37"/>
        <v>0</v>
      </c>
      <c r="BX10" s="59">
        <f t="shared" si="38"/>
        <v>0</v>
      </c>
      <c r="BY10" s="59">
        <f t="shared" si="39"/>
        <v>0</v>
      </c>
      <c r="BZ10" s="59">
        <f t="shared" si="40"/>
        <v>0</v>
      </c>
      <c r="CA10" s="59">
        <v>6</v>
      </c>
      <c r="CB10" s="59"/>
      <c r="CC10" s="59"/>
      <c r="CD10" s="59"/>
      <c r="CE10" s="59">
        <v>64.8</v>
      </c>
      <c r="CF10" s="59"/>
      <c r="CG10" s="59"/>
      <c r="CH10" s="59"/>
      <c r="CI10" s="59">
        <v>70</v>
      </c>
      <c r="CJ10" s="59">
        <v>6</v>
      </c>
      <c r="CK10" s="59">
        <v>41.65</v>
      </c>
      <c r="CL10" s="59">
        <v>52.34</v>
      </c>
      <c r="CM10" s="59"/>
      <c r="CN10" s="59"/>
      <c r="CO10" s="59"/>
      <c r="CP10" s="59"/>
      <c r="CQ10" s="59"/>
      <c r="CR10" s="59"/>
      <c r="CS10" s="59"/>
      <c r="CT10" s="59"/>
      <c r="CU10" s="59"/>
      <c r="CV10" s="59"/>
      <c r="CW10" s="59"/>
      <c r="CX10" s="59"/>
    </row>
    <row r="11" spans="1:102" s="46" customFormat="1" ht="12.75" customHeight="1" x14ac:dyDescent="0.3">
      <c r="A11" s="5"/>
      <c r="C11" s="264" t="s">
        <v>387</v>
      </c>
      <c r="D11" s="264"/>
      <c r="E11" s="38">
        <v>1160000</v>
      </c>
      <c r="F11" s="37"/>
      <c r="G11" s="270"/>
      <c r="H11" s="270"/>
      <c r="I11" s="270"/>
      <c r="J11" s="270"/>
      <c r="K11" s="271"/>
      <c r="L11" s="9"/>
      <c r="M11" s="23"/>
      <c r="N11" s="23"/>
      <c r="O11" s="35"/>
      <c r="P11" s="2"/>
      <c r="Q11" s="272"/>
      <c r="R11" s="272"/>
      <c r="S11" s="272"/>
      <c r="T11" s="272"/>
      <c r="U11" s="272"/>
      <c r="V11" s="272"/>
      <c r="W11" s="272"/>
      <c r="X11" s="157"/>
      <c r="Y11" s="157"/>
      <c r="Z11" s="2"/>
      <c r="AA11" s="2">
        <f>+(AA10-AB10)*30</f>
        <v>7.8850102669403555</v>
      </c>
      <c r="AB11" s="2">
        <f>+INT(AA11)</f>
        <v>7</v>
      </c>
      <c r="AC11" s="2" t="s">
        <v>107</v>
      </c>
      <c r="AD11" s="2"/>
      <c r="AE11" s="2"/>
      <c r="AF11" s="2"/>
      <c r="AG11" s="2"/>
      <c r="AH11" s="2"/>
      <c r="AI11" s="2"/>
      <c r="AJ11" s="2"/>
      <c r="AK11" s="2">
        <f t="shared" si="0"/>
        <v>0</v>
      </c>
      <c r="AL11" s="2">
        <f t="shared" si="41"/>
        <v>0</v>
      </c>
      <c r="AM11" s="2">
        <f t="shared" si="1"/>
        <v>0</v>
      </c>
      <c r="AN11" s="2">
        <f t="shared" si="2"/>
        <v>0</v>
      </c>
      <c r="AO11" s="2">
        <f t="shared" si="3"/>
        <v>0</v>
      </c>
      <c r="AP11" s="2">
        <f t="shared" si="4"/>
        <v>0</v>
      </c>
      <c r="AQ11" s="2">
        <f t="shared" si="5"/>
        <v>0</v>
      </c>
      <c r="AR11" s="2">
        <f t="shared" si="6"/>
        <v>0</v>
      </c>
      <c r="AS11" s="2">
        <f t="shared" si="7"/>
        <v>0</v>
      </c>
      <c r="AT11" s="2">
        <f t="shared" si="8"/>
        <v>0</v>
      </c>
      <c r="AU11" s="2">
        <f t="shared" si="9"/>
        <v>0</v>
      </c>
      <c r="AV11" s="2">
        <f t="shared" si="10"/>
        <v>0</v>
      </c>
      <c r="AW11" s="2">
        <f t="shared" si="11"/>
        <v>0</v>
      </c>
      <c r="AX11" s="2">
        <f t="shared" si="12"/>
        <v>0</v>
      </c>
      <c r="AY11" s="2">
        <f t="shared" si="13"/>
        <v>0</v>
      </c>
      <c r="AZ11" s="2">
        <f t="shared" si="14"/>
        <v>0</v>
      </c>
      <c r="BA11" s="2">
        <f t="shared" si="15"/>
        <v>0</v>
      </c>
      <c r="BB11" s="2">
        <f t="shared" si="16"/>
        <v>0</v>
      </c>
      <c r="BC11" s="2">
        <f t="shared" si="17"/>
        <v>0</v>
      </c>
      <c r="BD11" s="2">
        <f t="shared" si="18"/>
        <v>0</v>
      </c>
      <c r="BE11" s="2">
        <f t="shared" si="19"/>
        <v>0</v>
      </c>
      <c r="BF11" s="2">
        <f t="shared" si="20"/>
        <v>0</v>
      </c>
      <c r="BG11" s="2">
        <f t="shared" si="21"/>
        <v>0</v>
      </c>
      <c r="BH11" s="2">
        <f t="shared" si="22"/>
        <v>0</v>
      </c>
      <c r="BI11" s="2">
        <f t="shared" si="23"/>
        <v>0</v>
      </c>
      <c r="BJ11" s="2">
        <f t="shared" si="24"/>
        <v>0</v>
      </c>
      <c r="BK11" s="2">
        <f t="shared" si="25"/>
        <v>0</v>
      </c>
      <c r="BL11" s="2">
        <f t="shared" si="26"/>
        <v>0</v>
      </c>
      <c r="BM11" s="2">
        <f t="shared" si="27"/>
        <v>0</v>
      </c>
      <c r="BN11" s="59">
        <f t="shared" si="28"/>
        <v>0</v>
      </c>
      <c r="BO11" s="59">
        <f t="shared" si="29"/>
        <v>0</v>
      </c>
      <c r="BP11" s="59">
        <f t="shared" si="30"/>
        <v>0</v>
      </c>
      <c r="BQ11" s="59">
        <f t="shared" si="31"/>
        <v>0</v>
      </c>
      <c r="BR11" s="59">
        <f t="shared" si="32"/>
        <v>0</v>
      </c>
      <c r="BS11" s="59">
        <f t="shared" si="33"/>
        <v>0</v>
      </c>
      <c r="BT11" s="59">
        <f t="shared" si="34"/>
        <v>0</v>
      </c>
      <c r="BU11" s="59">
        <f t="shared" si="35"/>
        <v>0</v>
      </c>
      <c r="BV11" s="59">
        <f t="shared" si="36"/>
        <v>0</v>
      </c>
      <c r="BW11" s="59">
        <f t="shared" si="37"/>
        <v>0</v>
      </c>
      <c r="BX11" s="59">
        <f t="shared" si="38"/>
        <v>0</v>
      </c>
      <c r="BY11" s="59">
        <f t="shared" si="39"/>
        <v>0</v>
      </c>
      <c r="BZ11" s="59">
        <f t="shared" si="40"/>
        <v>0</v>
      </c>
      <c r="CA11" s="59">
        <v>7</v>
      </c>
      <c r="CB11" s="59"/>
      <c r="CC11" s="59"/>
      <c r="CD11" s="59"/>
      <c r="CE11" s="59">
        <v>64.8</v>
      </c>
      <c r="CF11" s="59"/>
      <c r="CG11" s="59"/>
      <c r="CH11" s="59"/>
      <c r="CI11" s="59">
        <v>70</v>
      </c>
      <c r="CJ11" s="59">
        <v>7</v>
      </c>
      <c r="CK11" s="59">
        <v>41.27</v>
      </c>
      <c r="CL11" s="59">
        <v>51.82</v>
      </c>
      <c r="CM11" s="59"/>
      <c r="CN11" s="59"/>
      <c r="CO11" s="59"/>
      <c r="CP11" s="59"/>
      <c r="CQ11" s="59"/>
      <c r="CR11" s="59"/>
      <c r="CS11" s="59"/>
      <c r="CT11" s="59"/>
      <c r="CU11" s="59"/>
      <c r="CV11" s="59"/>
      <c r="CW11" s="59"/>
      <c r="CX11" s="59"/>
    </row>
    <row r="12" spans="1:102" s="46" customFormat="1" ht="12.75" customHeight="1" x14ac:dyDescent="0.3">
      <c r="A12" s="5"/>
      <c r="C12" s="269"/>
      <c r="D12" s="269"/>
      <c r="E12" s="40"/>
      <c r="F12" s="37"/>
      <c r="G12" s="270" t="s">
        <v>379</v>
      </c>
      <c r="H12" s="270"/>
      <c r="I12" s="270"/>
      <c r="J12" s="270"/>
      <c r="K12" s="271" t="str">
        <f>AA16</f>
        <v>27 años, o 324 meses</v>
      </c>
      <c r="L12" s="9"/>
      <c r="M12" s="23"/>
      <c r="N12" s="23"/>
      <c r="O12" s="35"/>
      <c r="P12" s="163"/>
      <c r="Q12" s="272"/>
      <c r="R12" s="272"/>
      <c r="S12" s="272"/>
      <c r="T12" s="272"/>
      <c r="U12" s="272"/>
      <c r="V12" s="272"/>
      <c r="W12" s="272"/>
      <c r="X12" s="157"/>
      <c r="Y12" s="157"/>
      <c r="Z12" s="2"/>
      <c r="AA12" s="2"/>
      <c r="AB12" s="2"/>
      <c r="AC12" s="2"/>
      <c r="AD12" s="2"/>
      <c r="AE12" s="2"/>
      <c r="AF12" s="2"/>
      <c r="AG12" s="2"/>
      <c r="AH12" s="2"/>
      <c r="AI12" s="2"/>
      <c r="AJ12" s="2"/>
      <c r="AK12" s="2">
        <f t="shared" si="0"/>
        <v>0</v>
      </c>
      <c r="AL12" s="2">
        <f t="shared" si="41"/>
        <v>0</v>
      </c>
      <c r="AM12" s="2">
        <f t="shared" si="1"/>
        <v>0</v>
      </c>
      <c r="AN12" s="2">
        <f t="shared" si="2"/>
        <v>0</v>
      </c>
      <c r="AO12" s="2">
        <f t="shared" si="3"/>
        <v>0</v>
      </c>
      <c r="AP12" s="2">
        <f t="shared" si="4"/>
        <v>0</v>
      </c>
      <c r="AQ12" s="2">
        <f t="shared" si="5"/>
        <v>0</v>
      </c>
      <c r="AR12" s="2">
        <f t="shared" si="6"/>
        <v>0</v>
      </c>
      <c r="AS12" s="2">
        <f t="shared" si="7"/>
        <v>0</v>
      </c>
      <c r="AT12" s="2">
        <f t="shared" si="8"/>
        <v>0</v>
      </c>
      <c r="AU12" s="2">
        <f t="shared" si="9"/>
        <v>0</v>
      </c>
      <c r="AV12" s="2">
        <f t="shared" si="10"/>
        <v>0</v>
      </c>
      <c r="AW12" s="2">
        <f t="shared" si="11"/>
        <v>0</v>
      </c>
      <c r="AX12" s="2">
        <f t="shared" si="12"/>
        <v>0</v>
      </c>
      <c r="AY12" s="2">
        <f t="shared" si="13"/>
        <v>0</v>
      </c>
      <c r="AZ12" s="2">
        <f t="shared" si="14"/>
        <v>0</v>
      </c>
      <c r="BA12" s="2">
        <f t="shared" si="15"/>
        <v>0</v>
      </c>
      <c r="BB12" s="2">
        <f t="shared" si="16"/>
        <v>0</v>
      </c>
      <c r="BC12" s="2">
        <f t="shared" si="17"/>
        <v>0</v>
      </c>
      <c r="BD12" s="2">
        <f t="shared" si="18"/>
        <v>0</v>
      </c>
      <c r="BE12" s="2">
        <f t="shared" si="19"/>
        <v>0</v>
      </c>
      <c r="BF12" s="2">
        <f t="shared" si="20"/>
        <v>0</v>
      </c>
      <c r="BG12" s="2">
        <f t="shared" si="21"/>
        <v>0</v>
      </c>
      <c r="BH12" s="2">
        <f t="shared" si="22"/>
        <v>0</v>
      </c>
      <c r="BI12" s="2">
        <f t="shared" si="23"/>
        <v>0</v>
      </c>
      <c r="BJ12" s="2">
        <f t="shared" si="24"/>
        <v>0</v>
      </c>
      <c r="BK12" s="2">
        <f t="shared" si="25"/>
        <v>0</v>
      </c>
      <c r="BL12" s="2">
        <f t="shared" si="26"/>
        <v>0</v>
      </c>
      <c r="BM12" s="2">
        <f t="shared" si="27"/>
        <v>0</v>
      </c>
      <c r="BN12" s="59">
        <f t="shared" si="28"/>
        <v>0</v>
      </c>
      <c r="BO12" s="59">
        <f t="shared" si="29"/>
        <v>0</v>
      </c>
      <c r="BP12" s="59">
        <f t="shared" si="30"/>
        <v>0</v>
      </c>
      <c r="BQ12" s="59">
        <f t="shared" si="31"/>
        <v>0</v>
      </c>
      <c r="BR12" s="59">
        <f t="shared" si="32"/>
        <v>0</v>
      </c>
      <c r="BS12" s="59">
        <f t="shared" si="33"/>
        <v>0</v>
      </c>
      <c r="BT12" s="59">
        <f t="shared" si="34"/>
        <v>0</v>
      </c>
      <c r="BU12" s="59">
        <f t="shared" si="35"/>
        <v>0</v>
      </c>
      <c r="BV12" s="59">
        <f t="shared" si="36"/>
        <v>0</v>
      </c>
      <c r="BW12" s="59">
        <f t="shared" si="37"/>
        <v>0</v>
      </c>
      <c r="BX12" s="59">
        <f t="shared" si="38"/>
        <v>0</v>
      </c>
      <c r="BY12" s="59">
        <f t="shared" si="39"/>
        <v>0</v>
      </c>
      <c r="BZ12" s="59">
        <f t="shared" si="40"/>
        <v>0</v>
      </c>
      <c r="CA12" s="59">
        <v>8</v>
      </c>
      <c r="CB12" s="59"/>
      <c r="CC12" s="59"/>
      <c r="CD12" s="59"/>
      <c r="CE12" s="59">
        <v>64.8</v>
      </c>
      <c r="CF12" s="59"/>
      <c r="CG12" s="59"/>
      <c r="CH12" s="59"/>
      <c r="CI12" s="59">
        <v>70</v>
      </c>
      <c r="CJ12" s="59">
        <v>8</v>
      </c>
      <c r="CK12" s="59">
        <v>40.89</v>
      </c>
      <c r="CL12" s="59">
        <v>51.29</v>
      </c>
      <c r="CM12" s="59"/>
      <c r="CN12" s="59"/>
      <c r="CO12" s="59"/>
      <c r="CP12" s="59"/>
      <c r="CQ12" s="59"/>
      <c r="CR12" s="59"/>
      <c r="CS12" s="59"/>
      <c r="CT12" s="59"/>
      <c r="CU12" s="59"/>
      <c r="CV12" s="59"/>
      <c r="CW12" s="59"/>
      <c r="CX12" s="59"/>
    </row>
    <row r="13" spans="1:102" s="46" customFormat="1" ht="12.75" customHeight="1" x14ac:dyDescent="0.3">
      <c r="A13" s="5"/>
      <c r="C13" s="39"/>
      <c r="D13" s="39"/>
      <c r="E13" s="40"/>
      <c r="F13" s="37"/>
      <c r="G13" s="270"/>
      <c r="H13" s="270"/>
      <c r="I13" s="270"/>
      <c r="J13" s="270"/>
      <c r="K13" s="271"/>
      <c r="L13" s="17"/>
      <c r="M13" s="23"/>
      <c r="N13" s="23"/>
      <c r="O13" s="35"/>
      <c r="P13" s="2"/>
      <c r="Q13" s="272"/>
      <c r="R13" s="272"/>
      <c r="S13" s="272"/>
      <c r="T13" s="272"/>
      <c r="U13" s="272"/>
      <c r="V13" s="272"/>
      <c r="W13" s="272"/>
      <c r="X13" s="157"/>
      <c r="Y13" s="157"/>
      <c r="Z13" s="2"/>
      <c r="AA13" s="2" t="str">
        <f>IF(AB9&lt;0,"",IF(E9="","",IF(AB9&lt;15,"Menor de 15 años",CONCATENATE(AB9,AC9,AB10,AC10,AB11,AC11))))</f>
        <v xml:space="preserve">60 años, 0 meses, y 7 dias </v>
      </c>
      <c r="AB13" s="2"/>
      <c r="AC13" s="2"/>
      <c r="AD13" s="2"/>
      <c r="AE13" s="2"/>
      <c r="AF13" s="2"/>
      <c r="AG13" s="2"/>
      <c r="AH13" s="2"/>
      <c r="AI13" s="2"/>
      <c r="AJ13" s="2"/>
      <c r="AK13" s="2">
        <f t="shared" si="0"/>
        <v>0</v>
      </c>
      <c r="AL13" s="2">
        <f t="shared" si="41"/>
        <v>0</v>
      </c>
      <c r="AM13" s="2">
        <f t="shared" si="1"/>
        <v>0</v>
      </c>
      <c r="AN13" s="2">
        <f t="shared" si="2"/>
        <v>0</v>
      </c>
      <c r="AO13" s="2">
        <f t="shared" si="3"/>
        <v>0</v>
      </c>
      <c r="AP13" s="2">
        <f t="shared" si="4"/>
        <v>0</v>
      </c>
      <c r="AQ13" s="2">
        <f t="shared" si="5"/>
        <v>0</v>
      </c>
      <c r="AR13" s="2">
        <f t="shared" si="6"/>
        <v>0</v>
      </c>
      <c r="AS13" s="2">
        <f t="shared" si="7"/>
        <v>0</v>
      </c>
      <c r="AT13" s="2">
        <f t="shared" si="8"/>
        <v>0</v>
      </c>
      <c r="AU13" s="2">
        <f t="shared" si="9"/>
        <v>0</v>
      </c>
      <c r="AV13" s="2">
        <f t="shared" si="10"/>
        <v>0</v>
      </c>
      <c r="AW13" s="2">
        <f t="shared" si="11"/>
        <v>0</v>
      </c>
      <c r="AX13" s="2">
        <f t="shared" si="12"/>
        <v>0</v>
      </c>
      <c r="AY13" s="2">
        <f t="shared" si="13"/>
        <v>0</v>
      </c>
      <c r="AZ13" s="2">
        <f t="shared" si="14"/>
        <v>0</v>
      </c>
      <c r="BA13" s="2">
        <f t="shared" si="15"/>
        <v>0</v>
      </c>
      <c r="BB13" s="2">
        <f t="shared" si="16"/>
        <v>0</v>
      </c>
      <c r="BC13" s="2">
        <f t="shared" si="17"/>
        <v>0</v>
      </c>
      <c r="BD13" s="2">
        <f t="shared" si="18"/>
        <v>0</v>
      </c>
      <c r="BE13" s="2">
        <f t="shared" si="19"/>
        <v>0</v>
      </c>
      <c r="BF13" s="2">
        <f t="shared" si="20"/>
        <v>0</v>
      </c>
      <c r="BG13" s="2">
        <f t="shared" si="21"/>
        <v>0</v>
      </c>
      <c r="BH13" s="2">
        <f t="shared" si="22"/>
        <v>0</v>
      </c>
      <c r="BI13" s="2">
        <f t="shared" si="23"/>
        <v>0</v>
      </c>
      <c r="BJ13" s="2">
        <f t="shared" si="24"/>
        <v>0</v>
      </c>
      <c r="BK13" s="2">
        <f t="shared" si="25"/>
        <v>0</v>
      </c>
      <c r="BL13" s="2">
        <f t="shared" si="26"/>
        <v>0</v>
      </c>
      <c r="BM13" s="2">
        <f t="shared" si="27"/>
        <v>0</v>
      </c>
      <c r="BN13" s="59">
        <f t="shared" si="28"/>
        <v>0</v>
      </c>
      <c r="BO13" s="59">
        <f t="shared" si="29"/>
        <v>0</v>
      </c>
      <c r="BP13" s="59">
        <f t="shared" si="30"/>
        <v>0</v>
      </c>
      <c r="BQ13" s="59">
        <f t="shared" si="31"/>
        <v>0</v>
      </c>
      <c r="BR13" s="59">
        <f t="shared" si="32"/>
        <v>0</v>
      </c>
      <c r="BS13" s="59">
        <f t="shared" si="33"/>
        <v>0</v>
      </c>
      <c r="BT13" s="59">
        <f t="shared" si="34"/>
        <v>0</v>
      </c>
      <c r="BU13" s="59">
        <f t="shared" si="35"/>
        <v>0</v>
      </c>
      <c r="BV13" s="59">
        <f t="shared" si="36"/>
        <v>0</v>
      </c>
      <c r="BW13" s="59">
        <f t="shared" si="37"/>
        <v>0</v>
      </c>
      <c r="BX13" s="59">
        <f t="shared" si="38"/>
        <v>0</v>
      </c>
      <c r="BY13" s="59">
        <f t="shared" si="39"/>
        <v>0</v>
      </c>
      <c r="BZ13" s="59">
        <f t="shared" si="40"/>
        <v>0</v>
      </c>
      <c r="CA13" s="59">
        <v>9</v>
      </c>
      <c r="CB13" s="59"/>
      <c r="CC13" s="59"/>
      <c r="CD13" s="59"/>
      <c r="CE13" s="59">
        <v>64.8</v>
      </c>
      <c r="CF13" s="59"/>
      <c r="CG13" s="59"/>
      <c r="CH13" s="59"/>
      <c r="CI13" s="59">
        <v>70</v>
      </c>
      <c r="CJ13" s="59">
        <v>9</v>
      </c>
      <c r="CK13" s="59">
        <v>40.51</v>
      </c>
      <c r="CL13" s="59">
        <v>50.77</v>
      </c>
      <c r="CM13" s="59"/>
      <c r="CN13" s="59"/>
      <c r="CO13" s="59"/>
      <c r="CP13" s="59"/>
      <c r="CQ13" s="59"/>
      <c r="CR13" s="59"/>
      <c r="CS13" s="59"/>
      <c r="CT13" s="59"/>
      <c r="CU13" s="59"/>
      <c r="CV13" s="59"/>
      <c r="CW13" s="59"/>
      <c r="CX13" s="59"/>
    </row>
    <row r="14" spans="1:102" s="46" customFormat="1" ht="12.75" customHeight="1" x14ac:dyDescent="0.3">
      <c r="A14" s="5"/>
      <c r="C14" s="39"/>
      <c r="D14" s="39"/>
      <c r="E14" s="40"/>
      <c r="F14" s="37"/>
      <c r="G14" s="41"/>
      <c r="H14" s="41"/>
      <c r="I14" s="41"/>
      <c r="J14" s="41"/>
      <c r="K14" s="42"/>
      <c r="L14" s="17"/>
      <c r="M14" s="43"/>
      <c r="N14" s="43"/>
      <c r="O14" s="44"/>
      <c r="P14" s="2"/>
      <c r="Q14" s="268"/>
      <c r="R14" s="268"/>
      <c r="S14" s="268"/>
      <c r="T14" s="268"/>
      <c r="U14" s="268"/>
      <c r="V14" s="268"/>
      <c r="W14" s="268"/>
      <c r="X14" s="157"/>
      <c r="Y14" s="157"/>
      <c r="Z14" s="2"/>
      <c r="AA14" s="2"/>
      <c r="AB14" s="2"/>
      <c r="AC14" s="2"/>
      <c r="AD14" s="2"/>
      <c r="AE14" s="2"/>
      <c r="AF14" s="2"/>
      <c r="AG14" s="2"/>
      <c r="AH14" s="2"/>
      <c r="AI14" s="2"/>
      <c r="AJ14" s="2"/>
      <c r="AK14" s="2">
        <f t="shared" si="0"/>
        <v>0</v>
      </c>
      <c r="AL14" s="2">
        <f t="shared" si="41"/>
        <v>0</v>
      </c>
      <c r="AM14" s="2">
        <f t="shared" si="1"/>
        <v>0</v>
      </c>
      <c r="AN14" s="2">
        <f t="shared" si="2"/>
        <v>0</v>
      </c>
      <c r="AO14" s="2">
        <f t="shared" si="3"/>
        <v>0</v>
      </c>
      <c r="AP14" s="2">
        <f t="shared" si="4"/>
        <v>0</v>
      </c>
      <c r="AQ14" s="2">
        <f t="shared" si="5"/>
        <v>0</v>
      </c>
      <c r="AR14" s="2">
        <f t="shared" si="6"/>
        <v>0</v>
      </c>
      <c r="AS14" s="2">
        <f t="shared" si="7"/>
        <v>0</v>
      </c>
      <c r="AT14" s="2">
        <f t="shared" si="8"/>
        <v>0</v>
      </c>
      <c r="AU14" s="2">
        <f t="shared" si="9"/>
        <v>0</v>
      </c>
      <c r="AV14" s="2">
        <f t="shared" si="10"/>
        <v>0</v>
      </c>
      <c r="AW14" s="2">
        <f t="shared" si="11"/>
        <v>0</v>
      </c>
      <c r="AX14" s="2">
        <f t="shared" si="12"/>
        <v>0</v>
      </c>
      <c r="AY14" s="2">
        <f t="shared" si="13"/>
        <v>0</v>
      </c>
      <c r="AZ14" s="2">
        <f t="shared" si="14"/>
        <v>0</v>
      </c>
      <c r="BA14" s="2">
        <f t="shared" si="15"/>
        <v>0</v>
      </c>
      <c r="BB14" s="2">
        <f t="shared" si="16"/>
        <v>0</v>
      </c>
      <c r="BC14" s="2">
        <f t="shared" si="17"/>
        <v>0</v>
      </c>
      <c r="BD14" s="2">
        <f t="shared" si="18"/>
        <v>0</v>
      </c>
      <c r="BE14" s="2">
        <f t="shared" si="19"/>
        <v>0</v>
      </c>
      <c r="BF14" s="2">
        <f t="shared" si="20"/>
        <v>0</v>
      </c>
      <c r="BG14" s="2">
        <f t="shared" si="21"/>
        <v>0</v>
      </c>
      <c r="BH14" s="2">
        <f t="shared" si="22"/>
        <v>0</v>
      </c>
      <c r="BI14" s="2">
        <f t="shared" si="23"/>
        <v>0</v>
      </c>
      <c r="BJ14" s="2">
        <f t="shared" si="24"/>
        <v>0</v>
      </c>
      <c r="BK14" s="2">
        <f t="shared" si="25"/>
        <v>0</v>
      </c>
      <c r="BL14" s="2">
        <f t="shared" si="26"/>
        <v>0</v>
      </c>
      <c r="BM14" s="2">
        <f t="shared" si="27"/>
        <v>0</v>
      </c>
      <c r="BN14" s="59">
        <f t="shared" si="28"/>
        <v>0</v>
      </c>
      <c r="BO14" s="59">
        <f t="shared" si="29"/>
        <v>0</v>
      </c>
      <c r="BP14" s="59">
        <f t="shared" si="30"/>
        <v>0</v>
      </c>
      <c r="BQ14" s="59">
        <f t="shared" si="31"/>
        <v>0</v>
      </c>
      <c r="BR14" s="59">
        <f t="shared" si="32"/>
        <v>0</v>
      </c>
      <c r="BS14" s="59">
        <f t="shared" si="33"/>
        <v>0</v>
      </c>
      <c r="BT14" s="59">
        <f t="shared" si="34"/>
        <v>0</v>
      </c>
      <c r="BU14" s="59">
        <f t="shared" si="35"/>
        <v>0</v>
      </c>
      <c r="BV14" s="59">
        <f t="shared" si="36"/>
        <v>0</v>
      </c>
      <c r="BW14" s="59">
        <f t="shared" si="37"/>
        <v>0</v>
      </c>
      <c r="BX14" s="59">
        <f t="shared" si="38"/>
        <v>0</v>
      </c>
      <c r="BY14" s="59">
        <f t="shared" si="39"/>
        <v>0</v>
      </c>
      <c r="BZ14" s="59">
        <f t="shared" si="40"/>
        <v>0</v>
      </c>
      <c r="CA14" s="59">
        <v>10</v>
      </c>
      <c r="CB14" s="59"/>
      <c r="CC14" s="59"/>
      <c r="CD14" s="59"/>
      <c r="CE14" s="59">
        <v>64.8</v>
      </c>
      <c r="CF14" s="59"/>
      <c r="CG14" s="59"/>
      <c r="CH14" s="59"/>
      <c r="CI14" s="59">
        <v>70</v>
      </c>
      <c r="CJ14" s="59">
        <v>10</v>
      </c>
      <c r="CK14" s="59">
        <v>40.11</v>
      </c>
      <c r="CL14" s="59">
        <v>50.23</v>
      </c>
      <c r="CM14" s="59"/>
      <c r="CN14" s="59"/>
      <c r="CO14" s="59"/>
      <c r="CP14" s="59"/>
      <c r="CQ14" s="59"/>
      <c r="CR14" s="59"/>
      <c r="CS14" s="59"/>
      <c r="CT14" s="59"/>
      <c r="CU14" s="59"/>
      <c r="CV14" s="59"/>
      <c r="CW14" s="59"/>
      <c r="CX14" s="59"/>
    </row>
    <row r="15" spans="1:102" s="46" customFormat="1" ht="15" customHeight="1" x14ac:dyDescent="0.3">
      <c r="A15" s="5"/>
      <c r="C15" s="39"/>
      <c r="D15" s="39"/>
      <c r="E15" s="40"/>
      <c r="F15" s="9"/>
      <c r="G15" s="9"/>
      <c r="H15" s="9"/>
      <c r="I15" s="9"/>
      <c r="J15" s="9"/>
      <c r="K15" s="9"/>
      <c r="L15" s="9"/>
      <c r="M15" s="9"/>
      <c r="N15" s="9"/>
      <c r="O15" s="9"/>
      <c r="P15" s="2"/>
      <c r="Q15" s="268"/>
      <c r="R15" s="268"/>
      <c r="S15" s="268"/>
      <c r="T15" s="268"/>
      <c r="U15" s="268"/>
      <c r="V15" s="268"/>
      <c r="W15" s="268"/>
      <c r="X15" s="157"/>
      <c r="Y15" s="157"/>
      <c r="Z15" s="2"/>
      <c r="AA15" s="2">
        <f>SUM(BY4:BY118)</f>
        <v>27</v>
      </c>
      <c r="AB15" s="2">
        <f>INT(AA15*12)</f>
        <v>324</v>
      </c>
      <c r="AC15" s="2" t="s">
        <v>108</v>
      </c>
      <c r="AD15" s="2" t="s">
        <v>3</v>
      </c>
      <c r="AE15" s="2"/>
      <c r="AF15" s="2">
        <f>+AA15+AB15</f>
        <v>351</v>
      </c>
      <c r="AG15" s="2"/>
      <c r="AH15" s="2"/>
      <c r="AI15" s="2"/>
      <c r="AJ15" s="2"/>
      <c r="AK15" s="2">
        <f t="shared" si="0"/>
        <v>0</v>
      </c>
      <c r="AL15" s="2">
        <f t="shared" si="41"/>
        <v>0</v>
      </c>
      <c r="AM15" s="2">
        <f t="shared" si="1"/>
        <v>0</v>
      </c>
      <c r="AN15" s="2">
        <f t="shared" si="2"/>
        <v>0</v>
      </c>
      <c r="AO15" s="2">
        <f t="shared" si="3"/>
        <v>0</v>
      </c>
      <c r="AP15" s="2">
        <f t="shared" si="4"/>
        <v>0</v>
      </c>
      <c r="AQ15" s="2">
        <f t="shared" si="5"/>
        <v>0</v>
      </c>
      <c r="AR15" s="2">
        <f t="shared" si="6"/>
        <v>0</v>
      </c>
      <c r="AS15" s="2">
        <f t="shared" si="7"/>
        <v>0</v>
      </c>
      <c r="AT15" s="2">
        <f t="shared" si="8"/>
        <v>0</v>
      </c>
      <c r="AU15" s="2">
        <f t="shared" si="9"/>
        <v>0</v>
      </c>
      <c r="AV15" s="2">
        <f t="shared" si="10"/>
        <v>0</v>
      </c>
      <c r="AW15" s="2">
        <f t="shared" si="11"/>
        <v>0</v>
      </c>
      <c r="AX15" s="2">
        <f t="shared" si="12"/>
        <v>0</v>
      </c>
      <c r="AY15" s="2">
        <f t="shared" si="13"/>
        <v>0</v>
      </c>
      <c r="AZ15" s="2">
        <f t="shared" si="14"/>
        <v>0</v>
      </c>
      <c r="BA15" s="2">
        <f t="shared" si="15"/>
        <v>0</v>
      </c>
      <c r="BB15" s="2">
        <f t="shared" si="16"/>
        <v>0</v>
      </c>
      <c r="BC15" s="2">
        <f t="shared" si="17"/>
        <v>0</v>
      </c>
      <c r="BD15" s="2">
        <f t="shared" si="18"/>
        <v>0</v>
      </c>
      <c r="BE15" s="2">
        <f t="shared" si="19"/>
        <v>0</v>
      </c>
      <c r="BF15" s="2">
        <f t="shared" si="20"/>
        <v>0</v>
      </c>
      <c r="BG15" s="2">
        <f t="shared" si="21"/>
        <v>0</v>
      </c>
      <c r="BH15" s="2">
        <f t="shared" si="22"/>
        <v>0</v>
      </c>
      <c r="BI15" s="2">
        <f t="shared" si="23"/>
        <v>0</v>
      </c>
      <c r="BJ15" s="2">
        <f t="shared" si="24"/>
        <v>0</v>
      </c>
      <c r="BK15" s="2">
        <f t="shared" si="25"/>
        <v>0</v>
      </c>
      <c r="BL15" s="2">
        <f t="shared" si="26"/>
        <v>0</v>
      </c>
      <c r="BM15" s="2">
        <f t="shared" si="27"/>
        <v>0</v>
      </c>
      <c r="BN15" s="59">
        <f t="shared" si="28"/>
        <v>0</v>
      </c>
      <c r="BO15" s="59">
        <f t="shared" si="29"/>
        <v>0</v>
      </c>
      <c r="BP15" s="59">
        <f t="shared" si="30"/>
        <v>0</v>
      </c>
      <c r="BQ15" s="59">
        <f t="shared" si="31"/>
        <v>0</v>
      </c>
      <c r="BR15" s="59">
        <f t="shared" si="32"/>
        <v>0</v>
      </c>
      <c r="BS15" s="59">
        <f t="shared" si="33"/>
        <v>0</v>
      </c>
      <c r="BT15" s="59">
        <f t="shared" si="34"/>
        <v>0</v>
      </c>
      <c r="BU15" s="59">
        <f t="shared" si="35"/>
        <v>0</v>
      </c>
      <c r="BV15" s="59">
        <f t="shared" si="36"/>
        <v>0</v>
      </c>
      <c r="BW15" s="59">
        <f t="shared" si="37"/>
        <v>0</v>
      </c>
      <c r="BX15" s="59">
        <f t="shared" si="38"/>
        <v>0</v>
      </c>
      <c r="BY15" s="59">
        <f t="shared" si="39"/>
        <v>0</v>
      </c>
      <c r="BZ15" s="59">
        <f t="shared" si="40"/>
        <v>0</v>
      </c>
      <c r="CA15" s="59">
        <v>11</v>
      </c>
      <c r="CB15" s="59"/>
      <c r="CC15" s="59"/>
      <c r="CD15" s="59"/>
      <c r="CE15" s="59">
        <v>64.8</v>
      </c>
      <c r="CF15" s="59"/>
      <c r="CG15" s="59"/>
      <c r="CH15" s="59"/>
      <c r="CI15" s="59">
        <v>70</v>
      </c>
      <c r="CJ15" s="59">
        <v>11</v>
      </c>
      <c r="CK15" s="59">
        <v>39.72</v>
      </c>
      <c r="CL15" s="59">
        <v>49.7</v>
      </c>
      <c r="CM15" s="59"/>
      <c r="CN15" s="59"/>
      <c r="CO15" s="59"/>
      <c r="CP15" s="59"/>
      <c r="CQ15" s="59"/>
      <c r="CR15" s="59"/>
      <c r="CS15" s="59"/>
      <c r="CT15" s="59"/>
      <c r="CU15" s="59"/>
      <c r="CV15" s="59"/>
      <c r="CW15" s="59"/>
      <c r="CX15" s="59"/>
    </row>
    <row r="16" spans="1:102" s="46" customFormat="1" ht="12.75" customHeight="1" x14ac:dyDescent="0.3">
      <c r="A16" s="5"/>
      <c r="C16" s="265" t="s">
        <v>392</v>
      </c>
      <c r="D16" s="265"/>
      <c r="E16" s="266" t="s">
        <v>391</v>
      </c>
      <c r="F16" s="267" t="s">
        <v>109</v>
      </c>
      <c r="G16" s="267"/>
      <c r="H16" s="275" t="s">
        <v>110</v>
      </c>
      <c r="I16" s="275"/>
      <c r="J16" s="9"/>
      <c r="K16" s="276" t="s">
        <v>393</v>
      </c>
      <c r="L16" s="9"/>
      <c r="M16" s="270" t="s">
        <v>371</v>
      </c>
      <c r="N16" s="9"/>
      <c r="O16" s="270" t="s">
        <v>374</v>
      </c>
      <c r="P16" s="2"/>
      <c r="Q16" s="268"/>
      <c r="R16" s="268"/>
      <c r="S16" s="268"/>
      <c r="T16" s="268"/>
      <c r="U16" s="268"/>
      <c r="V16" s="268"/>
      <c r="W16" s="268"/>
      <c r="X16" s="157"/>
      <c r="Y16" s="157"/>
      <c r="Z16" s="2"/>
      <c r="AA16" s="2" t="str">
        <f>IF(AF15&lt;=0,"",IF(AA13="","",CONCATENATE(AA15,AC15,AB15,AD15)))</f>
        <v>27 años, o 324 meses</v>
      </c>
      <c r="AB16" s="2"/>
      <c r="AC16" s="2"/>
      <c r="AD16" s="2"/>
      <c r="AE16" s="2"/>
      <c r="AF16" s="2"/>
      <c r="AG16" s="2"/>
      <c r="AH16" s="2"/>
      <c r="AI16" s="2"/>
      <c r="AJ16" s="2"/>
      <c r="AK16" s="2">
        <f t="shared" si="0"/>
        <v>0</v>
      </c>
      <c r="AL16" s="2">
        <f t="shared" si="41"/>
        <v>0</v>
      </c>
      <c r="AM16" s="2">
        <f t="shared" si="1"/>
        <v>0</v>
      </c>
      <c r="AN16" s="2">
        <f t="shared" si="2"/>
        <v>0</v>
      </c>
      <c r="AO16" s="2">
        <f t="shared" si="3"/>
        <v>0</v>
      </c>
      <c r="AP16" s="2">
        <f t="shared" si="4"/>
        <v>0</v>
      </c>
      <c r="AQ16" s="2">
        <f t="shared" si="5"/>
        <v>0</v>
      </c>
      <c r="AR16" s="2">
        <f t="shared" si="6"/>
        <v>0</v>
      </c>
      <c r="AS16" s="2">
        <f t="shared" si="7"/>
        <v>0</v>
      </c>
      <c r="AT16" s="2">
        <f t="shared" si="8"/>
        <v>0</v>
      </c>
      <c r="AU16" s="2">
        <f t="shared" si="9"/>
        <v>0</v>
      </c>
      <c r="AV16" s="2">
        <f t="shared" si="10"/>
        <v>0</v>
      </c>
      <c r="AW16" s="2">
        <f t="shared" si="11"/>
        <v>0</v>
      </c>
      <c r="AX16" s="2">
        <f t="shared" si="12"/>
        <v>0</v>
      </c>
      <c r="AY16" s="2">
        <f t="shared" si="13"/>
        <v>0</v>
      </c>
      <c r="AZ16" s="2">
        <f t="shared" si="14"/>
        <v>0</v>
      </c>
      <c r="BA16" s="2">
        <f t="shared" si="15"/>
        <v>0</v>
      </c>
      <c r="BB16" s="2">
        <f t="shared" si="16"/>
        <v>0</v>
      </c>
      <c r="BC16" s="2">
        <f t="shared" si="17"/>
        <v>0</v>
      </c>
      <c r="BD16" s="2">
        <f t="shared" si="18"/>
        <v>0</v>
      </c>
      <c r="BE16" s="2">
        <f t="shared" si="19"/>
        <v>0</v>
      </c>
      <c r="BF16" s="2">
        <f t="shared" si="20"/>
        <v>0</v>
      </c>
      <c r="BG16" s="2">
        <f t="shared" si="21"/>
        <v>0</v>
      </c>
      <c r="BH16" s="2">
        <f t="shared" si="22"/>
        <v>0</v>
      </c>
      <c r="BI16" s="2">
        <f t="shared" si="23"/>
        <v>0</v>
      </c>
      <c r="BJ16" s="2">
        <f t="shared" si="24"/>
        <v>0</v>
      </c>
      <c r="BK16" s="2">
        <f t="shared" si="25"/>
        <v>0</v>
      </c>
      <c r="BL16" s="2">
        <f t="shared" si="26"/>
        <v>0</v>
      </c>
      <c r="BM16" s="2">
        <f t="shared" si="27"/>
        <v>0</v>
      </c>
      <c r="BN16" s="59">
        <f t="shared" si="28"/>
        <v>0</v>
      </c>
      <c r="BO16" s="59">
        <f t="shared" si="29"/>
        <v>0</v>
      </c>
      <c r="BP16" s="59">
        <f t="shared" si="30"/>
        <v>0</v>
      </c>
      <c r="BQ16" s="59">
        <f t="shared" si="31"/>
        <v>0</v>
      </c>
      <c r="BR16" s="59">
        <f t="shared" si="32"/>
        <v>0</v>
      </c>
      <c r="BS16" s="59">
        <f t="shared" si="33"/>
        <v>0</v>
      </c>
      <c r="BT16" s="59">
        <f t="shared" si="34"/>
        <v>0</v>
      </c>
      <c r="BU16" s="59">
        <f t="shared" si="35"/>
        <v>0</v>
      </c>
      <c r="BV16" s="59">
        <f t="shared" si="36"/>
        <v>0</v>
      </c>
      <c r="BW16" s="59">
        <f t="shared" si="37"/>
        <v>0</v>
      </c>
      <c r="BX16" s="59">
        <f t="shared" si="38"/>
        <v>0</v>
      </c>
      <c r="BY16" s="59">
        <f t="shared" si="39"/>
        <v>0</v>
      </c>
      <c r="BZ16" s="59">
        <f t="shared" si="40"/>
        <v>0</v>
      </c>
      <c r="CA16" s="59">
        <v>12</v>
      </c>
      <c r="CB16" s="59"/>
      <c r="CC16" s="59"/>
      <c r="CD16" s="59"/>
      <c r="CE16" s="59">
        <v>64.8</v>
      </c>
      <c r="CF16" s="59"/>
      <c r="CG16" s="59"/>
      <c r="CH16" s="59"/>
      <c r="CI16" s="59">
        <v>70</v>
      </c>
      <c r="CJ16" s="59">
        <v>12</v>
      </c>
      <c r="CK16" s="59">
        <v>39.32</v>
      </c>
      <c r="CL16" s="59">
        <v>49.16</v>
      </c>
      <c r="CM16" s="59"/>
      <c r="CN16" s="59"/>
      <c r="CO16" s="59"/>
      <c r="CP16" s="59"/>
      <c r="CQ16" s="59"/>
      <c r="CR16" s="59"/>
      <c r="CS16" s="59"/>
      <c r="CT16" s="59"/>
      <c r="CU16" s="59"/>
      <c r="CV16" s="59"/>
      <c r="CW16" s="59"/>
      <c r="CX16" s="59"/>
    </row>
    <row r="17" spans="1:102" s="46" customFormat="1" ht="12.75" customHeight="1" x14ac:dyDescent="0.3">
      <c r="A17" s="5"/>
      <c r="C17" s="265"/>
      <c r="D17" s="265"/>
      <c r="E17" s="266"/>
      <c r="F17" s="267"/>
      <c r="G17" s="267"/>
      <c r="H17" s="275"/>
      <c r="I17" s="275"/>
      <c r="J17" s="9"/>
      <c r="K17" s="276"/>
      <c r="L17" s="9"/>
      <c r="M17" s="270"/>
      <c r="N17" s="9"/>
      <c r="O17" s="270"/>
      <c r="P17" s="2"/>
      <c r="Q17" s="168"/>
      <c r="R17" s="168"/>
      <c r="S17" s="168"/>
      <c r="T17" s="168"/>
      <c r="U17" s="168"/>
      <c r="V17" s="168"/>
      <c r="W17" s="168"/>
      <c r="X17" s="157"/>
      <c r="Y17" s="157"/>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59"/>
      <c r="BO17" s="59"/>
      <c r="BP17" s="59"/>
      <c r="BQ17" s="59"/>
      <c r="BR17" s="59"/>
      <c r="BS17" s="59"/>
      <c r="BT17" s="59"/>
      <c r="BU17" s="59"/>
      <c r="BV17" s="59"/>
      <c r="BW17" s="59"/>
      <c r="BX17" s="59"/>
      <c r="BY17" s="59"/>
      <c r="BZ17" s="59"/>
      <c r="CA17" s="59"/>
      <c r="CB17" s="59"/>
      <c r="CC17" s="59"/>
      <c r="CD17" s="59"/>
      <c r="CE17" s="59">
        <v>64.8</v>
      </c>
      <c r="CF17" s="59"/>
      <c r="CG17" s="59"/>
      <c r="CH17" s="59"/>
      <c r="CI17" s="59">
        <v>70</v>
      </c>
      <c r="CJ17" s="59"/>
      <c r="CK17" s="59"/>
      <c r="CL17" s="59"/>
      <c r="CM17" s="59"/>
      <c r="CN17" s="59"/>
      <c r="CO17" s="59"/>
      <c r="CP17" s="59"/>
      <c r="CQ17" s="59"/>
      <c r="CR17" s="59"/>
      <c r="CS17" s="59"/>
      <c r="CT17" s="59"/>
      <c r="CU17" s="59"/>
      <c r="CV17" s="59"/>
      <c r="CW17" s="59"/>
      <c r="CX17" s="59"/>
    </row>
    <row r="18" spans="1:102" s="46" customFormat="1" ht="12.75" customHeight="1" x14ac:dyDescent="0.3">
      <c r="A18" s="5"/>
      <c r="B18" s="33"/>
      <c r="C18" s="258" t="s">
        <v>431</v>
      </c>
      <c r="D18" s="258"/>
      <c r="E18" s="52" t="s">
        <v>46</v>
      </c>
      <c r="F18" s="261">
        <v>35384</v>
      </c>
      <c r="G18" s="262"/>
      <c r="H18" s="52" t="s">
        <v>55</v>
      </c>
      <c r="I18" s="52" t="s">
        <v>120</v>
      </c>
      <c r="J18" s="9"/>
      <c r="K18" s="45">
        <f t="shared" ref="K18:K40" ca="1" si="42">AA91</f>
        <v>12170474.8926144</v>
      </c>
      <c r="L18" s="9"/>
      <c r="M18" s="45">
        <f t="shared" ref="M18:M40" si="43">AB95</f>
        <v>100000000</v>
      </c>
      <c r="N18" s="9"/>
      <c r="O18" s="45">
        <f t="shared" ref="O18:O40" ca="1" si="44">+AC95</f>
        <v>112170474.89261439</v>
      </c>
      <c r="P18" s="2"/>
      <c r="Q18" s="169"/>
      <c r="R18" s="169"/>
      <c r="S18" s="169"/>
      <c r="T18" s="169"/>
      <c r="U18" s="169"/>
      <c r="V18" s="169"/>
      <c r="W18" s="169"/>
      <c r="X18" s="157"/>
      <c r="Y18" s="157"/>
      <c r="Z18" s="2"/>
      <c r="AA18" s="2"/>
      <c r="AB18" s="2"/>
      <c r="AC18" s="2"/>
      <c r="AD18" s="2"/>
      <c r="AE18" s="2"/>
      <c r="AF18" s="2"/>
      <c r="AG18" s="2"/>
      <c r="AH18" s="2"/>
      <c r="AI18" s="2"/>
      <c r="AJ18" s="2"/>
      <c r="AK18" s="2">
        <f t="shared" ref="AK18:AK49" si="45">IF(AL18=1,IF($H$37="M",CI18,IF($H$37="H",CE18,IF($H$37="H Invalido",CK18,IF($H$37="M Invalida",CL18,0)))),0)</f>
        <v>0</v>
      </c>
      <c r="AL18" s="2">
        <f>IF($AB$39=CA18,1,0)</f>
        <v>0</v>
      </c>
      <c r="AM18" s="2">
        <f t="shared" ref="AM18:AM49" si="46">IF(AN18=1,IF($H$36="M",CI18,IF($H$36="H",CE18,IF($H$36="H Invalido",CK18,IF($H$36="M Invalida",CL18,0)))),0)</f>
        <v>0</v>
      </c>
      <c r="AN18" s="2">
        <f>IF($AB$38=CA18,1,0)</f>
        <v>0</v>
      </c>
      <c r="AO18" s="2">
        <f t="shared" ref="AO18:AO49" si="47">IF(AP18=1,IF($H$35="M",CI18,IF($H$35="H",CE18,IF($H$35="H Invalido",CK18,IF($H$35="M Invalida",CL18,0)))),0)</f>
        <v>0</v>
      </c>
      <c r="AP18" s="2">
        <f>IF($AB$37=CA18,1,0)</f>
        <v>0</v>
      </c>
      <c r="AQ18" s="2">
        <f t="shared" ref="AQ18:AQ49" si="48">IF(AR18=1,IF($H$34="M",CI18,IF($H$34="H",CE18,IF($H$34="H Invalido",CK18,IF($H$34="M Invalida",CL18,0)))),0)</f>
        <v>0</v>
      </c>
      <c r="AR18" s="2">
        <f>IF($AB$36=CA18,1,0)</f>
        <v>0</v>
      </c>
      <c r="AS18" s="2">
        <f t="shared" ref="AS18:AS49" si="49">IF(AT18=1,IF($H$33="M",CI18,IF($H$33="H",CE18,IF($H$33="H Invalido",CK18,IF($H$33="M Invalida",CL18,0)))),0)</f>
        <v>0</v>
      </c>
      <c r="AT18" s="2">
        <f>IF($AB$35=CA18,1,0)</f>
        <v>0</v>
      </c>
      <c r="AU18" s="2">
        <f t="shared" ref="AU18:AU49" si="50">IF(AV18=1,IF($H$32="M",CI18,IF($H$32="H",CE18,IF($H$32="H Invalido",CK18,IF($H$32="M Invalida",CL18,0)))),0)</f>
        <v>0</v>
      </c>
      <c r="AV18" s="2">
        <f>IF($AB$34=CA18,1,0)</f>
        <v>0</v>
      </c>
      <c r="AW18" s="2">
        <f t="shared" ref="AW18:AW49" si="51">IF(AX18=1,IF($H$31="M",CI18,IF($H$31="H",CE18,IF($H$31="H Invalido",CK18,IF($H$31="M Invalida",CL18,0)))),0)</f>
        <v>0</v>
      </c>
      <c r="AX18" s="2">
        <f>IF($AB$33=CA18,1,0)</f>
        <v>0</v>
      </c>
      <c r="AY18" s="2">
        <f t="shared" ref="AY18:AY49" si="52">IF(AZ18=1,IF($H$30="M",CI18,IF($H$30="H",CE18,IF($H$30="H Invalido",CK18,IF($H$30="M Invalida",CL18,0)))),0)</f>
        <v>0</v>
      </c>
      <c r="AZ18" s="2">
        <f>IF($AB$32=CA18,1,0)</f>
        <v>0</v>
      </c>
      <c r="BA18" s="2">
        <f t="shared" ref="BA18:BA49" si="53">IF(BB18=1,IF($H$29="M",CI18,IF($H$29="H",CE18,IF($H$29="H Invalido",CK18,IF($H$29="M Invalida",CL18,0)))),0)</f>
        <v>0</v>
      </c>
      <c r="BB18" s="2">
        <f>IF($AB$31=CA18,1,0)</f>
        <v>0</v>
      </c>
      <c r="BC18" s="2">
        <f t="shared" ref="BC18:BC49" si="54">IF(BD18=1,IF($H$28="M",CI18,IF($H$28="H",CE18,IF($H$28="H Invalido",CK18,IF($H$28="M Invalida",CL18,0)))),0)</f>
        <v>0</v>
      </c>
      <c r="BD18" s="2">
        <f>IF($AB$30=CA18,1,0)</f>
        <v>0</v>
      </c>
      <c r="BE18" s="2">
        <f t="shared" ref="BE18:BE49" si="55">IF(BF18=1,IF($H$27="M",CI18,IF($H$27="H",CE18,IF($H$27="H Invalido",CK18,IF($H$27="M Invalida",CL18,0)))),0)</f>
        <v>0</v>
      </c>
      <c r="BF18" s="2">
        <f>IF($AB$29=CA18,1,0)</f>
        <v>0</v>
      </c>
      <c r="BG18" s="2">
        <f t="shared" ref="BG18:BG49" si="56">IF(BH18=1,IF($H$26="M",CI18,IF($H$26="H",CE18,IF($H$26="H Invalido",CK18,IF($H$26="M Invalida",CL18,0)))),0)</f>
        <v>0</v>
      </c>
      <c r="BH18" s="2">
        <f>IF($AB$28=CA18,1,0)</f>
        <v>0</v>
      </c>
      <c r="BI18" s="2">
        <f t="shared" ref="BI18:BI49" si="57">IF(BJ18=1,IF($H$25="M",CI18,IF($H$25="H",CE18,IF($H$25="H Invalido",CK18,IF($H$25="M Invalida",CL18,0)))),0)</f>
        <v>0</v>
      </c>
      <c r="BJ18" s="2">
        <f>IF($AB$27=CA18,1,0)</f>
        <v>0</v>
      </c>
      <c r="BK18" s="2">
        <f t="shared" ref="BK18:BK49" si="58">IF(BL18=1,IF($H$24="M",CI18,IF($H$24="H",CE18,IF($H$24="H Invalido",CK18,IF($H$24="M Invalida",CL18,0)))),0)</f>
        <v>0</v>
      </c>
      <c r="BL18" s="2">
        <f>IF($AB$26=CA18,1,0)</f>
        <v>0</v>
      </c>
      <c r="BM18" s="2">
        <f t="shared" ref="BM18:BM49" si="59">IF(BN18=1,IF($H$23="M",CI18,IF($H$23="H",CE18,IF($H$23="H Invalido",CK18,IF($H$23="M Invalida",CL18,0)))),0)</f>
        <v>0</v>
      </c>
      <c r="BN18" s="59">
        <f>IF($AB$25=CA18,1,0)</f>
        <v>0</v>
      </c>
      <c r="BO18" s="59">
        <f t="shared" ref="BO18:BO49" si="60">IF(BP18=1,IF($H$22="M",CI18,IF($H$22="H",CE18,IF($H$22="H Invalido",CK18,IF($H$22="M Invalida",CL18,0)))),0)</f>
        <v>0</v>
      </c>
      <c r="BP18" s="59">
        <f>IF($AB$24=CA18,1,0)</f>
        <v>0</v>
      </c>
      <c r="BQ18" s="59">
        <f t="shared" ref="BQ18:BQ49" si="61">IF(BR18=1,IF($H$21="M",CI18,IF($H$21="H",CE18,IF($H$21="H Invalido",CK18,IF($H$21="M Invalida",CL18,0)))),0)</f>
        <v>0</v>
      </c>
      <c r="BR18" s="59">
        <f>IF($AB$23=CA18,1,0)</f>
        <v>0</v>
      </c>
      <c r="BS18" s="59">
        <f t="shared" ref="BS18:BS49" si="62">IF(BT18=1,IF($H$20="M",CI18,IF($H$20="H",CE18,IF($H$20="H Invalido",CK18,IF($H$20="M Invalida",CL18,0)))),0)</f>
        <v>0</v>
      </c>
      <c r="BT18" s="59">
        <f>IF($AB$22=CA18,1,0)</f>
        <v>0</v>
      </c>
      <c r="BU18" s="59">
        <f t="shared" ref="BU18:BU49" si="63">IF(BV18=1,IF($H$19="M",CI18,IF($H$19="H",CE18,IF($H$19="H Invalido",CK18,IF($H$19="M Invalida",CL18,0)))),0)</f>
        <v>0</v>
      </c>
      <c r="BV18" s="59">
        <f>IF($AB$21=CA18,1,0)</f>
        <v>0</v>
      </c>
      <c r="BW18" s="59">
        <f t="shared" ref="BW18:BW49" si="64">IF(BX18=1,IF($H$18="M",CI18,IF($H$18="H",CE18,IF($H$18="H Invalido",CK18,IF($H$18="M Invalida",CL18,0)))),0)</f>
        <v>0</v>
      </c>
      <c r="BX18" s="59">
        <f>IF($AB$20=CA18,1,0)</f>
        <v>0</v>
      </c>
      <c r="BY18" s="59">
        <f t="shared" ref="BY18:BY49" si="65">IF(BZ18=1,IF($E$10="M",CI18,IF($E$10="H",CE18,IF($E$10="H Invalido",CK18,IF($E$10="M Invalida",CL18,0)))),0)</f>
        <v>0</v>
      </c>
      <c r="BZ18" s="59">
        <f t="shared" si="40"/>
        <v>0</v>
      </c>
      <c r="CA18" s="59">
        <v>13</v>
      </c>
      <c r="CB18" s="59"/>
      <c r="CC18" s="59"/>
      <c r="CD18" s="59"/>
      <c r="CE18" s="59">
        <v>64.8</v>
      </c>
      <c r="CF18" s="59"/>
      <c r="CG18" s="59"/>
      <c r="CH18" s="59"/>
      <c r="CI18" s="59">
        <v>70</v>
      </c>
      <c r="CJ18" s="59">
        <v>13</v>
      </c>
      <c r="CK18" s="59">
        <v>38.909999999999997</v>
      </c>
      <c r="CL18" s="59">
        <v>48.61</v>
      </c>
      <c r="CM18" s="59"/>
      <c r="CN18" s="59"/>
      <c r="CO18" s="59"/>
      <c r="CP18" s="59"/>
      <c r="CQ18" s="59"/>
      <c r="CR18" s="59"/>
      <c r="CS18" s="59"/>
      <c r="CT18" s="59"/>
      <c r="CU18" s="59"/>
      <c r="CV18" s="59"/>
      <c r="CW18" s="59"/>
      <c r="CX18" s="59"/>
    </row>
    <row r="19" spans="1:102" s="46" customFormat="1" ht="12.75" customHeight="1" x14ac:dyDescent="0.3">
      <c r="A19" s="5"/>
      <c r="B19" s="33"/>
      <c r="C19" s="258" t="s">
        <v>432</v>
      </c>
      <c r="D19" s="258"/>
      <c r="E19" s="52" t="s">
        <v>44</v>
      </c>
      <c r="F19" s="261">
        <v>13886</v>
      </c>
      <c r="G19" s="262"/>
      <c r="H19" s="52" t="s">
        <v>7</v>
      </c>
      <c r="I19" s="52" t="s">
        <v>134</v>
      </c>
      <c r="J19" s="9"/>
      <c r="K19" s="45">
        <f t="shared" ca="1" si="42"/>
        <v>0</v>
      </c>
      <c r="L19" s="9"/>
      <c r="M19" s="45">
        <f t="shared" si="43"/>
        <v>100000000</v>
      </c>
      <c r="N19" s="9"/>
      <c r="O19" s="45">
        <f t="shared" ca="1" si="44"/>
        <v>100000000</v>
      </c>
      <c r="P19" s="2"/>
      <c r="Q19" s="169"/>
      <c r="R19" s="169"/>
      <c r="S19" s="169"/>
      <c r="T19" s="169"/>
      <c r="U19" s="169"/>
      <c r="V19" s="169"/>
      <c r="W19" s="169"/>
      <c r="X19" s="157"/>
      <c r="Y19" s="157"/>
      <c r="Z19" s="2"/>
      <c r="AA19" s="2" t="s">
        <v>111</v>
      </c>
      <c r="AB19" s="2" t="s">
        <v>112</v>
      </c>
      <c r="AC19" s="2" t="s">
        <v>113</v>
      </c>
      <c r="AD19" s="2" t="s">
        <v>114</v>
      </c>
      <c r="AE19" s="2" t="s">
        <v>115</v>
      </c>
      <c r="AF19" s="2" t="s">
        <v>116</v>
      </c>
      <c r="AG19" s="2" t="s">
        <v>117</v>
      </c>
      <c r="AH19" s="2" t="s">
        <v>118</v>
      </c>
      <c r="AI19" s="2" t="s">
        <v>119</v>
      </c>
      <c r="AJ19" s="2"/>
      <c r="AK19" s="2">
        <f t="shared" si="45"/>
        <v>0</v>
      </c>
      <c r="AL19" s="2">
        <f>IF($AB$39=CA19,1,0)</f>
        <v>0</v>
      </c>
      <c r="AM19" s="2">
        <f t="shared" si="46"/>
        <v>0</v>
      </c>
      <c r="AN19" s="2">
        <f>IF($AB$38=CA19,1,0)</f>
        <v>0</v>
      </c>
      <c r="AO19" s="2">
        <f t="shared" si="47"/>
        <v>0</v>
      </c>
      <c r="AP19" s="2">
        <f>IF($AB$37=CA19,1,0)</f>
        <v>0</v>
      </c>
      <c r="AQ19" s="2">
        <f t="shared" si="48"/>
        <v>0</v>
      </c>
      <c r="AR19" s="2">
        <f>IF($AB$36=CA19,1,0)</f>
        <v>0</v>
      </c>
      <c r="AS19" s="2">
        <f t="shared" si="49"/>
        <v>0</v>
      </c>
      <c r="AT19" s="2">
        <f>IF($AB$35=CA19,1,0)</f>
        <v>0</v>
      </c>
      <c r="AU19" s="2">
        <f t="shared" si="50"/>
        <v>0</v>
      </c>
      <c r="AV19" s="2">
        <f>IF($AB$34=CA19,1,0)</f>
        <v>0</v>
      </c>
      <c r="AW19" s="2">
        <f t="shared" si="51"/>
        <v>0</v>
      </c>
      <c r="AX19" s="2">
        <f>IF($AB$33=CA19,1,0)</f>
        <v>0</v>
      </c>
      <c r="AY19" s="2">
        <f t="shared" si="52"/>
        <v>0</v>
      </c>
      <c r="AZ19" s="2">
        <f>IF($AB$32=CA19,1,0)</f>
        <v>0</v>
      </c>
      <c r="BA19" s="2">
        <f t="shared" si="53"/>
        <v>0</v>
      </c>
      <c r="BB19" s="2">
        <f>IF($AB$31=CA19,1,0)</f>
        <v>0</v>
      </c>
      <c r="BC19" s="2">
        <f t="shared" si="54"/>
        <v>0</v>
      </c>
      <c r="BD19" s="2">
        <f>IF($AB$30=CA19,1,0)</f>
        <v>0</v>
      </c>
      <c r="BE19" s="2">
        <f t="shared" si="55"/>
        <v>0</v>
      </c>
      <c r="BF19" s="2">
        <f>IF($AB$29=CA19,1,0)</f>
        <v>0</v>
      </c>
      <c r="BG19" s="2">
        <f t="shared" si="56"/>
        <v>0</v>
      </c>
      <c r="BH19" s="2">
        <f>IF($AB$28=CA19,1,0)</f>
        <v>0</v>
      </c>
      <c r="BI19" s="2">
        <f t="shared" si="57"/>
        <v>0</v>
      </c>
      <c r="BJ19" s="2">
        <f>IF($AB$27=CA19,1,0)</f>
        <v>0</v>
      </c>
      <c r="BK19" s="2">
        <f t="shared" si="58"/>
        <v>0</v>
      </c>
      <c r="BL19" s="2">
        <f>IF($AB$26=CA19,1,0)</f>
        <v>0</v>
      </c>
      <c r="BM19" s="2">
        <f t="shared" si="59"/>
        <v>0</v>
      </c>
      <c r="BN19" s="59">
        <f>IF($AB$25=CA19,1,0)</f>
        <v>0</v>
      </c>
      <c r="BO19" s="59">
        <f t="shared" si="60"/>
        <v>0</v>
      </c>
      <c r="BP19" s="59">
        <f>IF($AB$24=CA19,1,0)</f>
        <v>0</v>
      </c>
      <c r="BQ19" s="59">
        <f t="shared" si="61"/>
        <v>0</v>
      </c>
      <c r="BR19" s="59">
        <f>IF($AB$23=CA19,1,0)</f>
        <v>0</v>
      </c>
      <c r="BS19" s="59">
        <f t="shared" si="62"/>
        <v>0</v>
      </c>
      <c r="BT19" s="59">
        <f>IF($AB$22=CA19,1,0)</f>
        <v>0</v>
      </c>
      <c r="BU19" s="59">
        <f t="shared" si="63"/>
        <v>0</v>
      </c>
      <c r="BV19" s="59">
        <f>IF($AB$21=CA19,1,0)</f>
        <v>0</v>
      </c>
      <c r="BW19" s="59">
        <f t="shared" si="64"/>
        <v>0</v>
      </c>
      <c r="BX19" s="59">
        <f>IF($AB$20=CA19,1,0)</f>
        <v>0</v>
      </c>
      <c r="BY19" s="59">
        <f t="shared" si="65"/>
        <v>0</v>
      </c>
      <c r="BZ19" s="59">
        <f t="shared" si="40"/>
        <v>0</v>
      </c>
      <c r="CA19" s="59">
        <v>14</v>
      </c>
      <c r="CB19" s="59"/>
      <c r="CC19" s="59"/>
      <c r="CD19" s="59"/>
      <c r="CE19" s="59">
        <v>64.8</v>
      </c>
      <c r="CF19" s="59"/>
      <c r="CG19" s="59"/>
      <c r="CH19" s="59"/>
      <c r="CI19" s="59">
        <v>70</v>
      </c>
      <c r="CJ19" s="59">
        <v>14</v>
      </c>
      <c r="CK19" s="59">
        <v>38.5</v>
      </c>
      <c r="CL19" s="59">
        <v>48.06</v>
      </c>
      <c r="CM19" s="59"/>
      <c r="CN19" s="59"/>
      <c r="CO19" s="59"/>
      <c r="CP19" s="59"/>
      <c r="CQ19" s="59"/>
      <c r="CR19" s="59"/>
      <c r="CS19" s="59"/>
      <c r="CT19" s="59"/>
      <c r="CU19" s="59"/>
      <c r="CV19" s="59"/>
      <c r="CW19" s="59"/>
      <c r="CX19" s="59"/>
    </row>
    <row r="20" spans="1:102" s="46" customFormat="1" ht="12.75" customHeight="1" x14ac:dyDescent="0.3">
      <c r="A20" s="5"/>
      <c r="B20" s="33"/>
      <c r="C20" s="258" t="s">
        <v>433</v>
      </c>
      <c r="D20" s="258"/>
      <c r="E20" s="52" t="s">
        <v>45</v>
      </c>
      <c r="F20" s="261">
        <v>14110</v>
      </c>
      <c r="G20" s="262"/>
      <c r="H20" s="52" t="s">
        <v>55</v>
      </c>
      <c r="I20" s="52" t="s">
        <v>134</v>
      </c>
      <c r="J20" s="9"/>
      <c r="K20" s="45">
        <f t="shared" ca="1" si="42"/>
        <v>0</v>
      </c>
      <c r="L20" s="9"/>
      <c r="M20" s="45">
        <f t="shared" si="43"/>
        <v>100000000</v>
      </c>
      <c r="N20" s="9"/>
      <c r="O20" s="45">
        <f t="shared" ca="1" si="44"/>
        <v>100000000</v>
      </c>
      <c r="P20" s="2"/>
      <c r="Q20" s="169"/>
      <c r="R20" s="169"/>
      <c r="S20" s="169"/>
      <c r="T20" s="169"/>
      <c r="U20" s="169"/>
      <c r="V20" s="169"/>
      <c r="W20" s="169"/>
      <c r="X20" s="157"/>
      <c r="Y20" s="157"/>
      <c r="Z20" s="2" t="str">
        <f t="shared" ref="Z20:Z39" si="66">IF(H18="H Invalido","Invalido",IF(H18="M Invalida","Invalido",""))</f>
        <v/>
      </c>
      <c r="AA20" s="2">
        <f t="shared" ref="AA20:AA42" si="67">IF(H18="","",IF(F18="","",(($E$9-F18)/365.25)))</f>
        <v>25.15811088295688</v>
      </c>
      <c r="AB20" s="2">
        <f>IF(AA20="","",INT(AA20))</f>
        <v>25</v>
      </c>
      <c r="AC20" s="2">
        <f>IF(AA20="",0,IF(AA20&lt;=0,0,IF(Z20="Invalido",SUM(BW4:BW118),IF(AB20&lt;25,25-AA20,SUM(BW4:BW118)))))</f>
        <v>60.2</v>
      </c>
      <c r="AD20" s="2">
        <f>IF(INT(AC20*12)&lt;$AB$15,INT(AC20*12),$AB$15)</f>
        <v>324</v>
      </c>
      <c r="AE20" s="2">
        <f t="shared" ref="AE20:AE43" ca="1" si="68">IF(AD20&lt;$AD$8,AD20,$AD$8)</f>
        <v>38</v>
      </c>
      <c r="AF20" s="2">
        <f t="shared" ref="AF20:AF43" ca="1" si="69">+AD20-AE20</f>
        <v>286</v>
      </c>
      <c r="AG20" s="2">
        <f t="shared" ref="AG20:AG39" ca="1" si="70">$H$103*((1.004867^AE20)-1)/0.004867</f>
        <v>2587015.2015373628</v>
      </c>
      <c r="AH20" s="2">
        <f t="shared" ref="AH20:AH39" ca="1" si="71">$H$103*((1.004867^AF20)-1)/(0.004867*(1.004867^AF20))</f>
        <v>9583459.6910770368</v>
      </c>
      <c r="AI20" s="2">
        <f ca="1">IF(ISERR((AG20+AH20)*Z91)=TRUE,0,(AG20+AH20)*Z91)</f>
        <v>12170474.8926144</v>
      </c>
      <c r="AJ20" s="2" t="e">
        <f ca="1">+((AI20/$AI$44)*$M$69*$E$12/100)</f>
        <v>#REF!</v>
      </c>
      <c r="AK20" s="2">
        <f t="shared" si="45"/>
        <v>0</v>
      </c>
      <c r="AL20" s="2">
        <f>IF($AB$39=CA20,1,0)</f>
        <v>0</v>
      </c>
      <c r="AM20" s="2">
        <f t="shared" si="46"/>
        <v>0</v>
      </c>
      <c r="AN20" s="2">
        <f>IF($AB$38=CA20,1,0)</f>
        <v>0</v>
      </c>
      <c r="AO20" s="2">
        <f t="shared" si="47"/>
        <v>0</v>
      </c>
      <c r="AP20" s="2">
        <f>IF($AB$37=CA20,1,0)</f>
        <v>0</v>
      </c>
      <c r="AQ20" s="2">
        <f t="shared" si="48"/>
        <v>0</v>
      </c>
      <c r="AR20" s="2">
        <f>IF($AB$36=CA20,1,0)</f>
        <v>0</v>
      </c>
      <c r="AS20" s="2">
        <f t="shared" si="49"/>
        <v>0</v>
      </c>
      <c r="AT20" s="2">
        <f>IF($AB$35=CA20,1,0)</f>
        <v>0</v>
      </c>
      <c r="AU20" s="2">
        <f t="shared" si="50"/>
        <v>70</v>
      </c>
      <c r="AV20" s="2">
        <f>IF($AB$34=CA20,1,0)</f>
        <v>1</v>
      </c>
      <c r="AW20" s="2">
        <f t="shared" si="51"/>
        <v>0</v>
      </c>
      <c r="AX20" s="2">
        <f>IF($AB$33=CA20,1,0)</f>
        <v>0</v>
      </c>
      <c r="AY20" s="2">
        <f t="shared" si="52"/>
        <v>0</v>
      </c>
      <c r="AZ20" s="2">
        <f>IF($AB$32=CA20,1,0)</f>
        <v>0</v>
      </c>
      <c r="BA20" s="2">
        <f t="shared" si="53"/>
        <v>0</v>
      </c>
      <c r="BB20" s="2">
        <f>IF($AB$31=CA20,1,0)</f>
        <v>0</v>
      </c>
      <c r="BC20" s="2">
        <f t="shared" si="54"/>
        <v>0</v>
      </c>
      <c r="BD20" s="2">
        <f>IF($AB$30=CA20,1,0)</f>
        <v>0</v>
      </c>
      <c r="BE20" s="2">
        <f t="shared" si="55"/>
        <v>0</v>
      </c>
      <c r="BF20" s="2">
        <f>IF($AB$29=CA20,1,0)</f>
        <v>0</v>
      </c>
      <c r="BG20" s="2">
        <f t="shared" si="56"/>
        <v>0</v>
      </c>
      <c r="BH20" s="2">
        <f>IF($AB$28=CA20,1,0)</f>
        <v>0</v>
      </c>
      <c r="BI20" s="2">
        <f t="shared" si="57"/>
        <v>0</v>
      </c>
      <c r="BJ20" s="2">
        <f>IF($AB$27=CA20,1,0)</f>
        <v>0</v>
      </c>
      <c r="BK20" s="2">
        <f t="shared" si="58"/>
        <v>0</v>
      </c>
      <c r="BL20" s="2">
        <f>IF($AB$26=CA20,1,0)</f>
        <v>0</v>
      </c>
      <c r="BM20" s="2">
        <f t="shared" si="59"/>
        <v>0</v>
      </c>
      <c r="BN20" s="59">
        <f>IF($AB$25=CA20,1,0)</f>
        <v>0</v>
      </c>
      <c r="BO20" s="59">
        <f t="shared" si="60"/>
        <v>0</v>
      </c>
      <c r="BP20" s="59">
        <f>IF($AB$24=CA20,1,0)</f>
        <v>0</v>
      </c>
      <c r="BQ20" s="59">
        <f t="shared" si="61"/>
        <v>0</v>
      </c>
      <c r="BR20" s="59">
        <f>IF($AB$23=CA20,1,0)</f>
        <v>0</v>
      </c>
      <c r="BS20" s="59">
        <f t="shared" si="62"/>
        <v>0</v>
      </c>
      <c r="BT20" s="59">
        <f>IF($AB$22=CA20,1,0)</f>
        <v>0</v>
      </c>
      <c r="BU20" s="59">
        <f t="shared" si="63"/>
        <v>0</v>
      </c>
      <c r="BV20" s="59">
        <f>IF($AB$21=CA20,1,0)</f>
        <v>0</v>
      </c>
      <c r="BW20" s="59">
        <f t="shared" si="64"/>
        <v>0</v>
      </c>
      <c r="BX20" s="59">
        <f>IF($AB$20=CA20,1,0)</f>
        <v>0</v>
      </c>
      <c r="BY20" s="59">
        <f t="shared" si="65"/>
        <v>0</v>
      </c>
      <c r="BZ20" s="59">
        <f>IF($AB$9=CA20,1,0)</f>
        <v>0</v>
      </c>
      <c r="CA20" s="59">
        <v>15</v>
      </c>
      <c r="CB20" s="60">
        <v>1000000</v>
      </c>
      <c r="CC20" s="60">
        <f t="shared" ref="CC20:CC82" si="72">+CB20-CB21</f>
        <v>485</v>
      </c>
      <c r="CD20" s="61">
        <f t="shared" ref="CD20:CD83" si="73">+CC20/CB20</f>
        <v>4.8500000000000003E-4</v>
      </c>
      <c r="CE20" s="59">
        <v>64.8</v>
      </c>
      <c r="CF20" s="60">
        <v>1000000</v>
      </c>
      <c r="CG20" s="60">
        <f t="shared" ref="CG20:CG82" si="74">+CF20-CF21</f>
        <v>272</v>
      </c>
      <c r="CH20" s="62">
        <f t="shared" ref="CH20:CH83" si="75">+CG20/CF20</f>
        <v>2.72E-4</v>
      </c>
      <c r="CI20" s="59">
        <v>70</v>
      </c>
      <c r="CJ20" s="59">
        <v>15</v>
      </c>
      <c r="CK20" s="59">
        <v>38.090000000000003</v>
      </c>
      <c r="CL20" s="59">
        <v>47.51</v>
      </c>
      <c r="CM20" s="59"/>
      <c r="CN20" s="59"/>
      <c r="CO20" s="59"/>
      <c r="CP20" s="59"/>
      <c r="CQ20" s="59"/>
      <c r="CR20" s="59"/>
      <c r="CS20" s="59"/>
      <c r="CT20" s="59"/>
      <c r="CU20" s="59"/>
      <c r="CV20" s="59"/>
      <c r="CW20" s="59"/>
      <c r="CX20" s="59"/>
    </row>
    <row r="21" spans="1:102" s="46" customFormat="1" ht="12.75" customHeight="1" x14ac:dyDescent="0.3">
      <c r="A21" s="5"/>
      <c r="B21" s="33"/>
      <c r="C21" s="263" t="s">
        <v>434</v>
      </c>
      <c r="D21" s="263"/>
      <c r="E21" s="52" t="s">
        <v>47</v>
      </c>
      <c r="F21" s="261">
        <v>24897</v>
      </c>
      <c r="G21" s="262"/>
      <c r="H21" s="52" t="s">
        <v>7</v>
      </c>
      <c r="I21" s="52" t="s">
        <v>134</v>
      </c>
      <c r="J21" s="9"/>
      <c r="K21" s="45">
        <f t="shared" ca="1" si="42"/>
        <v>0</v>
      </c>
      <c r="L21" s="9"/>
      <c r="M21" s="45">
        <f t="shared" si="43"/>
        <v>50000000</v>
      </c>
      <c r="N21" s="9"/>
      <c r="O21" s="45">
        <f t="shared" ca="1" si="44"/>
        <v>50000000</v>
      </c>
      <c r="P21" s="2"/>
      <c r="Q21" s="169"/>
      <c r="R21" s="169"/>
      <c r="S21" s="169"/>
      <c r="T21" s="169"/>
      <c r="U21" s="169"/>
      <c r="V21" s="169"/>
      <c r="W21" s="169"/>
      <c r="X21" s="157"/>
      <c r="Y21" s="157"/>
      <c r="Z21" s="2" t="str">
        <f t="shared" si="66"/>
        <v/>
      </c>
      <c r="AA21" s="2">
        <f t="shared" si="67"/>
        <v>84.016427104722794</v>
      </c>
      <c r="AB21" s="2">
        <f t="shared" ref="AB21:AB43" si="76">IF(AA21="","",INT(AA21))</f>
        <v>84</v>
      </c>
      <c r="AC21" s="2">
        <f>IF(AA21="",0,IF(AA21&lt;=0,0,IF(Z21="Invalido",SUM(BU4:BU118),IF(AB21&lt;25,25-AA21,SUM(BU4:BU118)))))</f>
        <v>7.4</v>
      </c>
      <c r="AD21" s="2">
        <f t="shared" ref="AD21:AD43" si="77">IF(INT(AC21*12)&lt;$AB$15,INT(AC21*12),$AB$15)</f>
        <v>88</v>
      </c>
      <c r="AE21" s="2">
        <f t="shared" ca="1" si="68"/>
        <v>38</v>
      </c>
      <c r="AF21" s="2">
        <f t="shared" ca="1" si="69"/>
        <v>50</v>
      </c>
      <c r="AG21" s="2">
        <f t="shared" ca="1" si="70"/>
        <v>2587015.2015373628</v>
      </c>
      <c r="AH21" s="2">
        <f t="shared" ca="1" si="71"/>
        <v>2752059.3195981863</v>
      </c>
      <c r="AI21" s="2">
        <f t="shared" ref="AI21:AI43" ca="1" si="78">IF(ISERR((AG21+AH21)*Z92)=TRUE,0,(AG21+AH21)*Z92)</f>
        <v>0</v>
      </c>
      <c r="AJ21" s="2" t="e">
        <f t="shared" ref="AJ21:AJ39" ca="1" si="79">+(AI21/$AI$44)*$M$69*$E$12/100</f>
        <v>#REF!</v>
      </c>
      <c r="AK21" s="2">
        <f t="shared" si="45"/>
        <v>0</v>
      </c>
      <c r="AL21" s="2">
        <f t="shared" ref="AL21:AL84" si="80">IF($AB$39=CA21,1,0)</f>
        <v>0</v>
      </c>
      <c r="AM21" s="2">
        <f t="shared" si="46"/>
        <v>0</v>
      </c>
      <c r="AN21" s="2">
        <f t="shared" ref="AN21:AN84" si="81">IF($AB$38=CA21,1,0)</f>
        <v>0</v>
      </c>
      <c r="AO21" s="2">
        <f t="shared" si="47"/>
        <v>0</v>
      </c>
      <c r="AP21" s="2">
        <f t="shared" ref="AP21:AP84" si="82">IF($AB$37=CA21,1,0)</f>
        <v>0</v>
      </c>
      <c r="AQ21" s="2">
        <f t="shared" si="48"/>
        <v>0</v>
      </c>
      <c r="AR21" s="2">
        <f t="shared" ref="AR21:AR84" si="83">IF($AB$36=CA21,1,0)</f>
        <v>0</v>
      </c>
      <c r="AS21" s="2">
        <f t="shared" si="49"/>
        <v>0</v>
      </c>
      <c r="AT21" s="2">
        <f t="shared" ref="AT21:AT84" si="84">IF($AB$35=CA21,1,0)</f>
        <v>0</v>
      </c>
      <c r="AU21" s="2">
        <f t="shared" si="50"/>
        <v>0</v>
      </c>
      <c r="AV21" s="2">
        <f t="shared" ref="AV21:AV84" si="85">IF($AB$34=CA21,1,0)</f>
        <v>0</v>
      </c>
      <c r="AW21" s="2">
        <f t="shared" si="51"/>
        <v>0</v>
      </c>
      <c r="AX21" s="2">
        <f t="shared" ref="AX21:AX84" si="86">IF($AB$33=CA21,1,0)</f>
        <v>0</v>
      </c>
      <c r="AY21" s="2">
        <f t="shared" si="52"/>
        <v>0</v>
      </c>
      <c r="AZ21" s="2">
        <f t="shared" ref="AZ21:AZ84" si="87">IF($AB$32=CA21,1,0)</f>
        <v>0</v>
      </c>
      <c r="BA21" s="2">
        <f t="shared" si="53"/>
        <v>0</v>
      </c>
      <c r="BB21" s="2">
        <f t="shared" ref="BB21:BB84" si="88">IF($AB$31=CA21,1,0)</f>
        <v>0</v>
      </c>
      <c r="BC21" s="2">
        <f t="shared" si="54"/>
        <v>0</v>
      </c>
      <c r="BD21" s="2">
        <f t="shared" ref="BD21:BD84" si="89">IF($AB$30=CA21,1,0)</f>
        <v>0</v>
      </c>
      <c r="BE21" s="2">
        <f t="shared" si="55"/>
        <v>0</v>
      </c>
      <c r="BF21" s="2">
        <f t="shared" ref="BF21:BF84" si="90">IF($AB$29=CA21,1,0)</f>
        <v>0</v>
      </c>
      <c r="BG21" s="2">
        <f t="shared" si="56"/>
        <v>0</v>
      </c>
      <c r="BH21" s="2">
        <f t="shared" ref="BH21:BH84" si="91">IF($AB$28=CA21,1,0)</f>
        <v>0</v>
      </c>
      <c r="BI21" s="2">
        <f t="shared" si="57"/>
        <v>0</v>
      </c>
      <c r="BJ21" s="2">
        <f t="shared" ref="BJ21:BJ84" si="92">IF($AB$27=CA21,1,0)</f>
        <v>0</v>
      </c>
      <c r="BK21" s="2">
        <f t="shared" si="58"/>
        <v>0</v>
      </c>
      <c r="BL21" s="2">
        <f t="shared" ref="BL21:BL84" si="93">IF($AB$26=CA21,1,0)</f>
        <v>0</v>
      </c>
      <c r="BM21" s="2">
        <f t="shared" si="59"/>
        <v>0</v>
      </c>
      <c r="BN21" s="59">
        <f t="shared" ref="BN21:BN84" si="94">IF($AB$25=CA21,1,0)</f>
        <v>0</v>
      </c>
      <c r="BO21" s="59">
        <f t="shared" si="60"/>
        <v>0</v>
      </c>
      <c r="BP21" s="59">
        <f t="shared" ref="BP21:BP84" si="95">IF($AB$24=CA21,1,0)</f>
        <v>0</v>
      </c>
      <c r="BQ21" s="59">
        <f t="shared" si="61"/>
        <v>0</v>
      </c>
      <c r="BR21" s="59">
        <f t="shared" ref="BR21:BR84" si="96">IF($AB$23=CA21,1,0)</f>
        <v>0</v>
      </c>
      <c r="BS21" s="59">
        <f t="shared" si="62"/>
        <v>0</v>
      </c>
      <c r="BT21" s="59">
        <f t="shared" ref="BT21:BT84" si="97">IF($AB$22=CA21,1,0)</f>
        <v>0</v>
      </c>
      <c r="BU21" s="59">
        <f t="shared" si="63"/>
        <v>0</v>
      </c>
      <c r="BV21" s="59">
        <f t="shared" ref="BV21:BV84" si="98">IF($AB$21=CA21,1,0)</f>
        <v>0</v>
      </c>
      <c r="BW21" s="59">
        <f t="shared" si="64"/>
        <v>0</v>
      </c>
      <c r="BX21" s="59">
        <f t="shared" ref="BX21:BX84" si="99">IF($AB$20=CA21,1,0)</f>
        <v>0</v>
      </c>
      <c r="BY21" s="59">
        <f t="shared" si="65"/>
        <v>0</v>
      </c>
      <c r="BZ21" s="59">
        <f t="shared" ref="BZ21:BZ84" si="100">IF($AB$9=CA21,1,0)</f>
        <v>0</v>
      </c>
      <c r="CA21" s="59">
        <v>16</v>
      </c>
      <c r="CB21" s="60">
        <v>999515</v>
      </c>
      <c r="CC21" s="60">
        <f t="shared" si="72"/>
        <v>496</v>
      </c>
      <c r="CD21" s="61">
        <f t="shared" si="73"/>
        <v>4.9624067672821319E-4</v>
      </c>
      <c r="CE21" s="59">
        <v>63.9</v>
      </c>
      <c r="CF21" s="60">
        <v>999728</v>
      </c>
      <c r="CG21" s="60">
        <f t="shared" si="74"/>
        <v>278</v>
      </c>
      <c r="CH21" s="62">
        <f t="shared" si="75"/>
        <v>2.780756365731479E-4</v>
      </c>
      <c r="CI21" s="59">
        <v>69.099999999999994</v>
      </c>
      <c r="CJ21" s="59">
        <v>16</v>
      </c>
      <c r="CK21" s="59">
        <v>37.67</v>
      </c>
      <c r="CL21" s="59">
        <v>46.95</v>
      </c>
      <c r="CM21" s="59"/>
      <c r="CN21" s="59"/>
      <c r="CO21" s="59"/>
      <c r="CP21" s="59"/>
      <c r="CQ21" s="59"/>
      <c r="CR21" s="59"/>
      <c r="CS21" s="59"/>
      <c r="CT21" s="59"/>
      <c r="CU21" s="59"/>
      <c r="CV21" s="59"/>
      <c r="CW21" s="59"/>
      <c r="CX21" s="59"/>
    </row>
    <row r="22" spans="1:102" s="46" customFormat="1" ht="12.75" customHeight="1" x14ac:dyDescent="0.3">
      <c r="A22" s="5"/>
      <c r="B22" s="33"/>
      <c r="C22" s="258" t="s">
        <v>435</v>
      </c>
      <c r="D22" s="258"/>
      <c r="E22" s="52" t="s">
        <v>47</v>
      </c>
      <c r="F22" s="261"/>
      <c r="G22" s="262"/>
      <c r="H22" s="52" t="s">
        <v>55</v>
      </c>
      <c r="I22" s="52" t="s">
        <v>134</v>
      </c>
      <c r="J22" s="9"/>
      <c r="K22" s="45">
        <f t="shared" ca="1" si="42"/>
        <v>0</v>
      </c>
      <c r="L22" s="9"/>
      <c r="M22" s="45">
        <f t="shared" si="43"/>
        <v>50000000</v>
      </c>
      <c r="N22" s="9"/>
      <c r="O22" s="45">
        <f t="shared" ca="1" si="44"/>
        <v>50000000</v>
      </c>
      <c r="P22" s="2"/>
      <c r="Q22" s="169"/>
      <c r="R22" s="169"/>
      <c r="S22" s="169"/>
      <c r="T22" s="169"/>
      <c r="U22" s="169"/>
      <c r="V22" s="169"/>
      <c r="W22" s="169"/>
      <c r="X22" s="157"/>
      <c r="Y22" s="157"/>
      <c r="Z22" s="2" t="str">
        <f t="shared" si="66"/>
        <v/>
      </c>
      <c r="AA22" s="2">
        <f t="shared" si="67"/>
        <v>83.403148528405197</v>
      </c>
      <c r="AB22" s="2">
        <f t="shared" si="76"/>
        <v>83</v>
      </c>
      <c r="AC22" s="2">
        <f>IF(AA22="",0,IF(AA22&lt;=0,0,IF(Z22="Invalido",SUM(BS4:BS118),IF(AB22&lt;25,25-AA22,SUM(BS4:BS118)))))</f>
        <v>9.4</v>
      </c>
      <c r="AD22" s="2">
        <f t="shared" si="77"/>
        <v>112</v>
      </c>
      <c r="AE22" s="2">
        <f t="shared" ca="1" si="68"/>
        <v>38</v>
      </c>
      <c r="AF22" s="2">
        <f t="shared" ca="1" si="69"/>
        <v>74</v>
      </c>
      <c r="AG22" s="2">
        <f t="shared" ca="1" si="70"/>
        <v>2587015.2015373628</v>
      </c>
      <c r="AH22" s="2">
        <f t="shared" ca="1" si="71"/>
        <v>3853753.8584032385</v>
      </c>
      <c r="AI22" s="2">
        <f t="shared" ca="1" si="78"/>
        <v>0</v>
      </c>
      <c r="AJ22" s="2" t="e">
        <f t="shared" ca="1" si="79"/>
        <v>#REF!</v>
      </c>
      <c r="AK22" s="2">
        <f t="shared" si="45"/>
        <v>0</v>
      </c>
      <c r="AL22" s="2">
        <f t="shared" si="80"/>
        <v>0</v>
      </c>
      <c r="AM22" s="2">
        <f t="shared" si="46"/>
        <v>0</v>
      </c>
      <c r="AN22" s="2">
        <f t="shared" si="81"/>
        <v>0</v>
      </c>
      <c r="AO22" s="2">
        <f t="shared" si="47"/>
        <v>0</v>
      </c>
      <c r="AP22" s="2">
        <f t="shared" si="82"/>
        <v>0</v>
      </c>
      <c r="AQ22" s="2">
        <f t="shared" si="48"/>
        <v>0</v>
      </c>
      <c r="AR22" s="2">
        <f t="shared" si="83"/>
        <v>0</v>
      </c>
      <c r="AS22" s="2">
        <f t="shared" si="49"/>
        <v>0</v>
      </c>
      <c r="AT22" s="2">
        <f t="shared" si="84"/>
        <v>0</v>
      </c>
      <c r="AU22" s="2">
        <f t="shared" si="50"/>
        <v>0</v>
      </c>
      <c r="AV22" s="2">
        <f t="shared" si="85"/>
        <v>0</v>
      </c>
      <c r="AW22" s="2">
        <f t="shared" si="51"/>
        <v>0</v>
      </c>
      <c r="AX22" s="2">
        <f t="shared" si="86"/>
        <v>0</v>
      </c>
      <c r="AY22" s="2">
        <f t="shared" si="52"/>
        <v>0</v>
      </c>
      <c r="AZ22" s="2">
        <f t="shared" si="87"/>
        <v>0</v>
      </c>
      <c r="BA22" s="2">
        <f t="shared" si="53"/>
        <v>0</v>
      </c>
      <c r="BB22" s="2">
        <f t="shared" si="88"/>
        <v>0</v>
      </c>
      <c r="BC22" s="2">
        <f t="shared" si="54"/>
        <v>0</v>
      </c>
      <c r="BD22" s="2">
        <f t="shared" si="89"/>
        <v>0</v>
      </c>
      <c r="BE22" s="2">
        <f t="shared" si="55"/>
        <v>0</v>
      </c>
      <c r="BF22" s="2">
        <f t="shared" si="90"/>
        <v>0</v>
      </c>
      <c r="BG22" s="2">
        <f t="shared" si="56"/>
        <v>0</v>
      </c>
      <c r="BH22" s="2">
        <f t="shared" si="91"/>
        <v>0</v>
      </c>
      <c r="BI22" s="2">
        <f t="shared" si="57"/>
        <v>0</v>
      </c>
      <c r="BJ22" s="2">
        <f t="shared" si="92"/>
        <v>0</v>
      </c>
      <c r="BK22" s="2">
        <f t="shared" si="58"/>
        <v>0</v>
      </c>
      <c r="BL22" s="2">
        <f t="shared" si="93"/>
        <v>0</v>
      </c>
      <c r="BM22" s="2">
        <f t="shared" si="59"/>
        <v>0</v>
      </c>
      <c r="BN22" s="59">
        <f t="shared" si="94"/>
        <v>0</v>
      </c>
      <c r="BO22" s="59">
        <f t="shared" si="60"/>
        <v>0</v>
      </c>
      <c r="BP22" s="59">
        <f t="shared" si="95"/>
        <v>0</v>
      </c>
      <c r="BQ22" s="59">
        <f t="shared" si="61"/>
        <v>0</v>
      </c>
      <c r="BR22" s="59">
        <f t="shared" si="96"/>
        <v>0</v>
      </c>
      <c r="BS22" s="59">
        <f t="shared" si="62"/>
        <v>0</v>
      </c>
      <c r="BT22" s="59">
        <f t="shared" si="97"/>
        <v>0</v>
      </c>
      <c r="BU22" s="59">
        <f t="shared" si="63"/>
        <v>0</v>
      </c>
      <c r="BV22" s="59">
        <f t="shared" si="98"/>
        <v>0</v>
      </c>
      <c r="BW22" s="59">
        <f t="shared" si="64"/>
        <v>0</v>
      </c>
      <c r="BX22" s="59">
        <f t="shared" si="99"/>
        <v>0</v>
      </c>
      <c r="BY22" s="59">
        <f t="shared" si="65"/>
        <v>0</v>
      </c>
      <c r="BZ22" s="59">
        <f t="shared" si="100"/>
        <v>0</v>
      </c>
      <c r="CA22" s="59">
        <v>17</v>
      </c>
      <c r="CB22" s="60">
        <v>999019</v>
      </c>
      <c r="CC22" s="60">
        <f t="shared" si="72"/>
        <v>509</v>
      </c>
      <c r="CD22" s="61">
        <f t="shared" si="73"/>
        <v>5.0949981932275565E-4</v>
      </c>
      <c r="CE22" s="59">
        <v>62.9</v>
      </c>
      <c r="CF22" s="60">
        <v>999450</v>
      </c>
      <c r="CG22" s="60">
        <f t="shared" si="74"/>
        <v>285</v>
      </c>
      <c r="CH22" s="62">
        <f t="shared" si="75"/>
        <v>2.8515683625994297E-4</v>
      </c>
      <c r="CI22" s="59">
        <v>68.099999999999994</v>
      </c>
      <c r="CJ22" s="59">
        <v>17</v>
      </c>
      <c r="CK22" s="59">
        <v>37.25</v>
      </c>
      <c r="CL22" s="59">
        <v>46.39</v>
      </c>
      <c r="CM22" s="59"/>
      <c r="CN22" s="59"/>
      <c r="CO22" s="59"/>
      <c r="CP22" s="59"/>
      <c r="CQ22" s="59"/>
      <c r="CR22" s="59"/>
      <c r="CS22" s="59"/>
      <c r="CT22" s="59"/>
      <c r="CU22" s="59"/>
      <c r="CV22" s="59"/>
      <c r="CW22" s="59"/>
      <c r="CX22" s="59"/>
    </row>
    <row r="23" spans="1:102" s="46" customFormat="1" ht="12.75" customHeight="1" x14ac:dyDescent="0.3">
      <c r="A23" s="5"/>
      <c r="B23" s="33"/>
      <c r="C23" s="258" t="s">
        <v>436</v>
      </c>
      <c r="D23" s="258"/>
      <c r="E23" s="52" t="s">
        <v>47</v>
      </c>
      <c r="F23" s="261">
        <v>22597</v>
      </c>
      <c r="G23" s="262"/>
      <c r="H23" s="52" t="s">
        <v>7</v>
      </c>
      <c r="I23" s="52" t="s">
        <v>134</v>
      </c>
      <c r="J23" s="9"/>
      <c r="K23" s="45">
        <f t="shared" ca="1" si="42"/>
        <v>0</v>
      </c>
      <c r="L23" s="9"/>
      <c r="M23" s="45">
        <f t="shared" si="43"/>
        <v>50000000</v>
      </c>
      <c r="N23" s="9"/>
      <c r="O23" s="45">
        <f t="shared" ca="1" si="44"/>
        <v>50000000</v>
      </c>
      <c r="P23" s="2"/>
      <c r="Q23" s="169"/>
      <c r="R23" s="169"/>
      <c r="S23" s="169"/>
      <c r="T23" s="169"/>
      <c r="U23" s="169"/>
      <c r="V23" s="169"/>
      <c r="W23" s="169"/>
      <c r="X23" s="157"/>
      <c r="Y23" s="157"/>
      <c r="Z23" s="2" t="str">
        <f t="shared" si="66"/>
        <v/>
      </c>
      <c r="AA23" s="2">
        <f t="shared" si="67"/>
        <v>53.869952087611225</v>
      </c>
      <c r="AB23" s="2">
        <f t="shared" si="76"/>
        <v>53</v>
      </c>
      <c r="AC23" s="2">
        <f>IF(AA23="",0,IF(AA23&lt;=0,0,IF(Z23="Invalido",SUM(BQ4:BQ118),IF(AB23&lt;25,25-AA23,SUM(BQ4:BQ118)))))</f>
        <v>29</v>
      </c>
      <c r="AD23" s="2">
        <f t="shared" si="77"/>
        <v>324</v>
      </c>
      <c r="AE23" s="2">
        <f ca="1">IF(AD23&lt;$AD$8,AD23,$AD$8)</f>
        <v>38</v>
      </c>
      <c r="AF23" s="2">
        <f t="shared" ca="1" si="69"/>
        <v>286</v>
      </c>
      <c r="AG23" s="2">
        <f ca="1">$H$103*((1.004867^AE23)-1)/0.004867</f>
        <v>2587015.2015373628</v>
      </c>
      <c r="AH23" s="2">
        <f t="shared" ca="1" si="71"/>
        <v>9583459.6910770368</v>
      </c>
      <c r="AI23" s="2">
        <f t="shared" ca="1" si="78"/>
        <v>0</v>
      </c>
      <c r="AJ23" s="2" t="e">
        <f t="shared" ca="1" si="79"/>
        <v>#REF!</v>
      </c>
      <c r="AK23" s="2">
        <f t="shared" si="45"/>
        <v>0</v>
      </c>
      <c r="AL23" s="2">
        <f t="shared" si="80"/>
        <v>0</v>
      </c>
      <c r="AM23" s="2">
        <f t="shared" si="46"/>
        <v>0</v>
      </c>
      <c r="AN23" s="2">
        <f t="shared" si="81"/>
        <v>0</v>
      </c>
      <c r="AO23" s="2">
        <f t="shared" si="47"/>
        <v>0</v>
      </c>
      <c r="AP23" s="2">
        <f t="shared" si="82"/>
        <v>0</v>
      </c>
      <c r="AQ23" s="2">
        <f t="shared" si="48"/>
        <v>0</v>
      </c>
      <c r="AR23" s="2">
        <f t="shared" si="83"/>
        <v>0</v>
      </c>
      <c r="AS23" s="2">
        <f t="shared" si="49"/>
        <v>0</v>
      </c>
      <c r="AT23" s="2">
        <f t="shared" si="84"/>
        <v>0</v>
      </c>
      <c r="AU23" s="2">
        <f t="shared" si="50"/>
        <v>0</v>
      </c>
      <c r="AV23" s="2">
        <f t="shared" si="85"/>
        <v>0</v>
      </c>
      <c r="AW23" s="2">
        <f t="shared" si="51"/>
        <v>0</v>
      </c>
      <c r="AX23" s="2">
        <f t="shared" si="86"/>
        <v>0</v>
      </c>
      <c r="AY23" s="2">
        <f t="shared" si="52"/>
        <v>0</v>
      </c>
      <c r="AZ23" s="2">
        <f t="shared" si="87"/>
        <v>0</v>
      </c>
      <c r="BA23" s="2">
        <f t="shared" si="53"/>
        <v>0</v>
      </c>
      <c r="BB23" s="2">
        <f t="shared" si="88"/>
        <v>0</v>
      </c>
      <c r="BC23" s="2">
        <f t="shared" si="54"/>
        <v>0</v>
      </c>
      <c r="BD23" s="2">
        <f t="shared" si="89"/>
        <v>0</v>
      </c>
      <c r="BE23" s="2">
        <f t="shared" si="55"/>
        <v>61.9</v>
      </c>
      <c r="BF23" s="2">
        <f t="shared" si="90"/>
        <v>1</v>
      </c>
      <c r="BG23" s="2">
        <f t="shared" si="56"/>
        <v>0</v>
      </c>
      <c r="BH23" s="2">
        <f t="shared" si="91"/>
        <v>0</v>
      </c>
      <c r="BI23" s="2">
        <f t="shared" si="57"/>
        <v>0</v>
      </c>
      <c r="BJ23" s="2">
        <f t="shared" si="92"/>
        <v>0</v>
      </c>
      <c r="BK23" s="2">
        <f t="shared" si="58"/>
        <v>0</v>
      </c>
      <c r="BL23" s="2">
        <f t="shared" si="93"/>
        <v>0</v>
      </c>
      <c r="BM23" s="2">
        <f t="shared" si="59"/>
        <v>0</v>
      </c>
      <c r="BN23" s="59">
        <f t="shared" si="94"/>
        <v>0</v>
      </c>
      <c r="BO23" s="59">
        <f t="shared" si="60"/>
        <v>0</v>
      </c>
      <c r="BP23" s="59">
        <f t="shared" si="95"/>
        <v>0</v>
      </c>
      <c r="BQ23" s="59">
        <f t="shared" si="61"/>
        <v>0</v>
      </c>
      <c r="BR23" s="59">
        <f t="shared" si="96"/>
        <v>0</v>
      </c>
      <c r="BS23" s="59">
        <f t="shared" si="62"/>
        <v>0</v>
      </c>
      <c r="BT23" s="59">
        <f t="shared" si="97"/>
        <v>0</v>
      </c>
      <c r="BU23" s="59">
        <f t="shared" si="63"/>
        <v>0</v>
      </c>
      <c r="BV23" s="59">
        <f t="shared" si="98"/>
        <v>0</v>
      </c>
      <c r="BW23" s="59">
        <f t="shared" si="64"/>
        <v>0</v>
      </c>
      <c r="BX23" s="59">
        <f t="shared" si="99"/>
        <v>0</v>
      </c>
      <c r="BY23" s="59">
        <f t="shared" si="65"/>
        <v>0</v>
      </c>
      <c r="BZ23" s="59">
        <f t="shared" si="100"/>
        <v>0</v>
      </c>
      <c r="CA23" s="59">
        <v>18</v>
      </c>
      <c r="CB23" s="60">
        <v>998510</v>
      </c>
      <c r="CC23" s="60">
        <f t="shared" si="72"/>
        <v>522</v>
      </c>
      <c r="CD23" s="61">
        <f t="shared" si="73"/>
        <v>5.2277894062152609E-4</v>
      </c>
      <c r="CE23" s="59">
        <v>61.9</v>
      </c>
      <c r="CF23" s="60">
        <v>999165</v>
      </c>
      <c r="CG23" s="60">
        <f t="shared" si="74"/>
        <v>293</v>
      </c>
      <c r="CH23" s="62">
        <f t="shared" si="75"/>
        <v>2.9324485945764715E-4</v>
      </c>
      <c r="CI23" s="59">
        <v>67.099999999999994</v>
      </c>
      <c r="CJ23" s="59">
        <v>18</v>
      </c>
      <c r="CK23" s="59">
        <v>36.82</v>
      </c>
      <c r="CL23" s="59">
        <v>45.82</v>
      </c>
      <c r="CM23" s="59"/>
      <c r="CN23" s="59"/>
      <c r="CO23" s="59"/>
      <c r="CP23" s="59"/>
      <c r="CQ23" s="59"/>
      <c r="CR23" s="59"/>
      <c r="CS23" s="59"/>
      <c r="CT23" s="59"/>
      <c r="CU23" s="59"/>
      <c r="CV23" s="59"/>
      <c r="CW23" s="59"/>
      <c r="CX23" s="59"/>
    </row>
    <row r="24" spans="1:102" s="46" customFormat="1" ht="12.75" customHeight="1" x14ac:dyDescent="0.3">
      <c r="A24" s="5"/>
      <c r="B24" s="33"/>
      <c r="C24" s="258" t="s">
        <v>437</v>
      </c>
      <c r="D24" s="258"/>
      <c r="E24" s="52" t="s">
        <v>47</v>
      </c>
      <c r="F24" s="259">
        <v>25920</v>
      </c>
      <c r="G24" s="259"/>
      <c r="H24" s="52" t="s">
        <v>7</v>
      </c>
      <c r="I24" s="52" t="s">
        <v>134</v>
      </c>
      <c r="J24" s="9"/>
      <c r="K24" s="45">
        <f t="shared" ca="1" si="42"/>
        <v>0</v>
      </c>
      <c r="L24" s="9"/>
      <c r="M24" s="45">
        <f t="shared" si="43"/>
        <v>50000000</v>
      </c>
      <c r="N24" s="9"/>
      <c r="O24" s="45">
        <f t="shared" ca="1" si="44"/>
        <v>50000000</v>
      </c>
      <c r="P24" s="2"/>
      <c r="Q24" s="169"/>
      <c r="R24" s="169"/>
      <c r="S24" s="169"/>
      <c r="T24" s="169"/>
      <c r="U24" s="169"/>
      <c r="V24" s="169"/>
      <c r="W24" s="169"/>
      <c r="X24" s="157"/>
      <c r="Y24" s="157"/>
      <c r="Z24" s="2" t="str">
        <f t="shared" si="66"/>
        <v/>
      </c>
      <c r="AA24" s="2" t="str">
        <f t="shared" si="67"/>
        <v/>
      </c>
      <c r="AB24" s="2" t="str">
        <f t="shared" si="76"/>
        <v/>
      </c>
      <c r="AC24" s="2">
        <f>IF(AA24="",0,IF(AA24&lt;=0,0,IF(Z24="Invalido",SUM(BO4:BO118),IF(AB24&lt;25,25-AA24,SUM(BO4:BO118)))))</f>
        <v>0</v>
      </c>
      <c r="AD24" s="2">
        <f t="shared" si="77"/>
        <v>0</v>
      </c>
      <c r="AE24" s="2">
        <f t="shared" ca="1" si="68"/>
        <v>0</v>
      </c>
      <c r="AF24" s="2">
        <f t="shared" ca="1" si="69"/>
        <v>0</v>
      </c>
      <c r="AG24" s="2">
        <f t="shared" ca="1" si="70"/>
        <v>0</v>
      </c>
      <c r="AH24" s="2">
        <f t="shared" ca="1" si="71"/>
        <v>0</v>
      </c>
      <c r="AI24" s="2">
        <f t="shared" ca="1" si="78"/>
        <v>0</v>
      </c>
      <c r="AJ24" s="2" t="e">
        <f t="shared" ca="1" si="79"/>
        <v>#REF!</v>
      </c>
      <c r="AK24" s="2">
        <f t="shared" si="45"/>
        <v>0</v>
      </c>
      <c r="AL24" s="2">
        <f t="shared" si="80"/>
        <v>0</v>
      </c>
      <c r="AM24" s="2">
        <f t="shared" si="46"/>
        <v>0</v>
      </c>
      <c r="AN24" s="2">
        <f t="shared" si="81"/>
        <v>0</v>
      </c>
      <c r="AO24" s="2">
        <f t="shared" si="47"/>
        <v>0</v>
      </c>
      <c r="AP24" s="2">
        <f t="shared" si="82"/>
        <v>0</v>
      </c>
      <c r="AQ24" s="2">
        <f t="shared" si="48"/>
        <v>0</v>
      </c>
      <c r="AR24" s="2">
        <f t="shared" si="83"/>
        <v>0</v>
      </c>
      <c r="AS24" s="2">
        <f t="shared" si="49"/>
        <v>0</v>
      </c>
      <c r="AT24" s="2">
        <f t="shared" si="84"/>
        <v>0</v>
      </c>
      <c r="AU24" s="2">
        <f t="shared" si="50"/>
        <v>0</v>
      </c>
      <c r="AV24" s="2">
        <f t="shared" si="85"/>
        <v>0</v>
      </c>
      <c r="AW24" s="2">
        <f t="shared" si="51"/>
        <v>0</v>
      </c>
      <c r="AX24" s="2">
        <f t="shared" si="86"/>
        <v>0</v>
      </c>
      <c r="AY24" s="2">
        <f t="shared" si="52"/>
        <v>0</v>
      </c>
      <c r="AZ24" s="2">
        <f t="shared" si="87"/>
        <v>0</v>
      </c>
      <c r="BA24" s="2">
        <f t="shared" si="53"/>
        <v>0</v>
      </c>
      <c r="BB24" s="2">
        <f t="shared" si="88"/>
        <v>0</v>
      </c>
      <c r="BC24" s="2">
        <f t="shared" si="54"/>
        <v>0</v>
      </c>
      <c r="BD24" s="2">
        <f t="shared" si="89"/>
        <v>0</v>
      </c>
      <c r="BE24" s="2">
        <f t="shared" si="55"/>
        <v>0</v>
      </c>
      <c r="BF24" s="2">
        <f t="shared" si="90"/>
        <v>0</v>
      </c>
      <c r="BG24" s="2">
        <f t="shared" si="56"/>
        <v>0</v>
      </c>
      <c r="BH24" s="2">
        <f t="shared" si="91"/>
        <v>0</v>
      </c>
      <c r="BI24" s="2">
        <f t="shared" si="57"/>
        <v>0</v>
      </c>
      <c r="BJ24" s="2">
        <f t="shared" si="92"/>
        <v>0</v>
      </c>
      <c r="BK24" s="2">
        <f t="shared" si="58"/>
        <v>0</v>
      </c>
      <c r="BL24" s="2">
        <f t="shared" si="93"/>
        <v>0</v>
      </c>
      <c r="BM24" s="2">
        <f t="shared" si="59"/>
        <v>0</v>
      </c>
      <c r="BN24" s="59">
        <f t="shared" si="94"/>
        <v>0</v>
      </c>
      <c r="BO24" s="59">
        <f t="shared" si="60"/>
        <v>0</v>
      </c>
      <c r="BP24" s="59">
        <f t="shared" si="95"/>
        <v>0</v>
      </c>
      <c r="BQ24" s="59">
        <f t="shared" si="61"/>
        <v>0</v>
      </c>
      <c r="BR24" s="59">
        <f t="shared" si="96"/>
        <v>0</v>
      </c>
      <c r="BS24" s="59">
        <f t="shared" si="62"/>
        <v>0</v>
      </c>
      <c r="BT24" s="59">
        <f t="shared" si="97"/>
        <v>0</v>
      </c>
      <c r="BU24" s="59">
        <f t="shared" si="63"/>
        <v>0</v>
      </c>
      <c r="BV24" s="59">
        <f t="shared" si="98"/>
        <v>0</v>
      </c>
      <c r="BW24" s="59">
        <f t="shared" si="64"/>
        <v>0</v>
      </c>
      <c r="BX24" s="59">
        <f t="shared" si="99"/>
        <v>0</v>
      </c>
      <c r="BY24" s="59">
        <f t="shared" si="65"/>
        <v>0</v>
      </c>
      <c r="BZ24" s="59">
        <f t="shared" si="100"/>
        <v>0</v>
      </c>
      <c r="CA24" s="59">
        <v>19</v>
      </c>
      <c r="CB24" s="60">
        <v>997988</v>
      </c>
      <c r="CC24" s="60">
        <f t="shared" si="72"/>
        <v>537</v>
      </c>
      <c r="CD24" s="61">
        <f t="shared" si="73"/>
        <v>5.3808262223593872E-4</v>
      </c>
      <c r="CE24" s="59">
        <v>60.9</v>
      </c>
      <c r="CF24" s="60">
        <v>998872</v>
      </c>
      <c r="CG24" s="60">
        <f t="shared" si="74"/>
        <v>302</v>
      </c>
      <c r="CH24" s="62">
        <f t="shared" si="75"/>
        <v>3.023410406939027E-4</v>
      </c>
      <c r="CI24" s="59">
        <v>66.099999999999994</v>
      </c>
      <c r="CJ24" s="59">
        <v>19</v>
      </c>
      <c r="CK24" s="59">
        <v>36.39</v>
      </c>
      <c r="CL24" s="59">
        <v>45.25</v>
      </c>
      <c r="CM24" s="59"/>
      <c r="CN24" s="59"/>
      <c r="CO24" s="59"/>
      <c r="CP24" s="59"/>
      <c r="CQ24" s="59"/>
      <c r="CR24" s="59"/>
      <c r="CS24" s="59"/>
      <c r="CT24" s="59"/>
      <c r="CU24" s="59"/>
      <c r="CV24" s="59"/>
      <c r="CW24" s="59"/>
      <c r="CX24" s="59"/>
    </row>
    <row r="25" spans="1:102" s="46" customFormat="1" ht="12.75" customHeight="1" x14ac:dyDescent="0.3">
      <c r="A25" s="5"/>
      <c r="B25" s="33"/>
      <c r="C25" s="258" t="s">
        <v>438</v>
      </c>
      <c r="D25" s="258"/>
      <c r="E25" s="52" t="s">
        <v>47</v>
      </c>
      <c r="F25" s="259">
        <v>23285</v>
      </c>
      <c r="G25" s="259"/>
      <c r="H25" s="52" t="s">
        <v>7</v>
      </c>
      <c r="I25" s="52" t="s">
        <v>134</v>
      </c>
      <c r="J25" s="9"/>
      <c r="K25" s="45">
        <f t="shared" ca="1" si="42"/>
        <v>0</v>
      </c>
      <c r="L25" s="9"/>
      <c r="M25" s="45">
        <f t="shared" si="43"/>
        <v>50000000</v>
      </c>
      <c r="N25" s="9"/>
      <c r="O25" s="45">
        <f t="shared" ca="1" si="44"/>
        <v>50000000</v>
      </c>
      <c r="P25" s="2"/>
      <c r="Q25" s="169"/>
      <c r="R25" s="169"/>
      <c r="S25" s="169"/>
      <c r="T25" s="169"/>
      <c r="U25" s="169"/>
      <c r="V25" s="169"/>
      <c r="W25" s="169"/>
      <c r="X25" s="157"/>
      <c r="Y25" s="157"/>
      <c r="Z25" s="2" t="str">
        <f t="shared" si="66"/>
        <v/>
      </c>
      <c r="AA25" s="2">
        <f t="shared" si="67"/>
        <v>60.167008898015055</v>
      </c>
      <c r="AB25" s="2">
        <f t="shared" si="76"/>
        <v>60</v>
      </c>
      <c r="AC25" s="2">
        <f>IF(AA25="",0,IF(AA25&lt;=0,0,IF(Z25="Invalido",SUM(BM4:BM118),IF(AB25&lt;25,25-AA25,SUM(BM4:BM118)))))</f>
        <v>23</v>
      </c>
      <c r="AD25" s="2">
        <f t="shared" si="77"/>
        <v>276</v>
      </c>
      <c r="AE25" s="2">
        <f t="shared" ca="1" si="68"/>
        <v>38</v>
      </c>
      <c r="AF25" s="2">
        <f t="shared" ca="1" si="69"/>
        <v>238</v>
      </c>
      <c r="AG25" s="2">
        <f t="shared" ca="1" si="70"/>
        <v>2587015.2015373628</v>
      </c>
      <c r="AH25" s="2">
        <f t="shared" ca="1" si="71"/>
        <v>8747642.9789287206</v>
      </c>
      <c r="AI25" s="2">
        <f t="shared" ca="1" si="78"/>
        <v>0</v>
      </c>
      <c r="AJ25" s="2" t="e">
        <f t="shared" ca="1" si="79"/>
        <v>#REF!</v>
      </c>
      <c r="AK25" s="2">
        <f t="shared" si="45"/>
        <v>0</v>
      </c>
      <c r="AL25" s="2">
        <f t="shared" si="80"/>
        <v>0</v>
      </c>
      <c r="AM25" s="2">
        <f t="shared" si="46"/>
        <v>0</v>
      </c>
      <c r="AN25" s="2">
        <f t="shared" si="81"/>
        <v>0</v>
      </c>
      <c r="AO25" s="2">
        <f t="shared" si="47"/>
        <v>0</v>
      </c>
      <c r="AP25" s="2">
        <f t="shared" si="82"/>
        <v>0</v>
      </c>
      <c r="AQ25" s="2">
        <f t="shared" si="48"/>
        <v>0</v>
      </c>
      <c r="AR25" s="2">
        <f t="shared" si="83"/>
        <v>0</v>
      </c>
      <c r="AS25" s="2">
        <f t="shared" si="49"/>
        <v>0</v>
      </c>
      <c r="AT25" s="2">
        <f t="shared" si="84"/>
        <v>0</v>
      </c>
      <c r="AU25" s="2">
        <f t="shared" si="50"/>
        <v>0</v>
      </c>
      <c r="AV25" s="2">
        <f t="shared" si="85"/>
        <v>0</v>
      </c>
      <c r="AW25" s="2">
        <f t="shared" si="51"/>
        <v>0</v>
      </c>
      <c r="AX25" s="2">
        <f t="shared" si="86"/>
        <v>0</v>
      </c>
      <c r="AY25" s="2">
        <f t="shared" si="52"/>
        <v>0</v>
      </c>
      <c r="AZ25" s="2">
        <f t="shared" si="87"/>
        <v>0</v>
      </c>
      <c r="BA25" s="2">
        <f t="shared" si="53"/>
        <v>0</v>
      </c>
      <c r="BB25" s="2">
        <f t="shared" si="88"/>
        <v>0</v>
      </c>
      <c r="BC25" s="2">
        <f t="shared" si="54"/>
        <v>0</v>
      </c>
      <c r="BD25" s="2">
        <f t="shared" si="89"/>
        <v>0</v>
      </c>
      <c r="BE25" s="2">
        <f t="shared" si="55"/>
        <v>0</v>
      </c>
      <c r="BF25" s="2">
        <f t="shared" si="90"/>
        <v>0</v>
      </c>
      <c r="BG25" s="2">
        <f t="shared" si="56"/>
        <v>0</v>
      </c>
      <c r="BH25" s="2">
        <f t="shared" si="91"/>
        <v>0</v>
      </c>
      <c r="BI25" s="2">
        <f t="shared" si="57"/>
        <v>0</v>
      </c>
      <c r="BJ25" s="2">
        <f t="shared" si="92"/>
        <v>0</v>
      </c>
      <c r="BK25" s="2">
        <f t="shared" si="58"/>
        <v>0</v>
      </c>
      <c r="BL25" s="2">
        <f t="shared" si="93"/>
        <v>0</v>
      </c>
      <c r="BM25" s="2">
        <f t="shared" si="59"/>
        <v>0</v>
      </c>
      <c r="BN25" s="59">
        <f t="shared" si="94"/>
        <v>0</v>
      </c>
      <c r="BO25" s="59">
        <f t="shared" si="60"/>
        <v>0</v>
      </c>
      <c r="BP25" s="59">
        <f t="shared" si="95"/>
        <v>0</v>
      </c>
      <c r="BQ25" s="59">
        <f t="shared" si="61"/>
        <v>0</v>
      </c>
      <c r="BR25" s="59">
        <f t="shared" si="96"/>
        <v>0</v>
      </c>
      <c r="BS25" s="59">
        <f t="shared" si="62"/>
        <v>0</v>
      </c>
      <c r="BT25" s="59">
        <f t="shared" si="97"/>
        <v>0</v>
      </c>
      <c r="BU25" s="59">
        <f t="shared" si="63"/>
        <v>0</v>
      </c>
      <c r="BV25" s="59">
        <f t="shared" si="98"/>
        <v>0</v>
      </c>
      <c r="BW25" s="59">
        <f t="shared" si="64"/>
        <v>0</v>
      </c>
      <c r="BX25" s="59">
        <f t="shared" si="99"/>
        <v>0</v>
      </c>
      <c r="BY25" s="59">
        <f t="shared" si="65"/>
        <v>0</v>
      </c>
      <c r="BZ25" s="59">
        <f t="shared" si="100"/>
        <v>0</v>
      </c>
      <c r="CA25" s="59">
        <v>20</v>
      </c>
      <c r="CB25" s="60">
        <v>997451</v>
      </c>
      <c r="CC25" s="60">
        <f t="shared" si="72"/>
        <v>553</v>
      </c>
      <c r="CD25" s="61">
        <f t="shared" si="73"/>
        <v>5.5441319924487518E-4</v>
      </c>
      <c r="CE25" s="59">
        <v>60</v>
      </c>
      <c r="CF25" s="60">
        <v>998570</v>
      </c>
      <c r="CG25" s="60">
        <f t="shared" si="74"/>
        <v>311</v>
      </c>
      <c r="CH25" s="62">
        <f t="shared" si="75"/>
        <v>3.114453668746307E-4</v>
      </c>
      <c r="CI25" s="59">
        <v>65.099999999999994</v>
      </c>
      <c r="CJ25" s="59">
        <v>20</v>
      </c>
      <c r="CK25" s="59">
        <v>35.950000000000003</v>
      </c>
      <c r="CL25" s="59">
        <v>44.68</v>
      </c>
      <c r="CM25" s="59"/>
      <c r="CN25" s="59"/>
      <c r="CO25" s="59"/>
      <c r="CP25" s="59"/>
      <c r="CQ25" s="59"/>
      <c r="CR25" s="59"/>
      <c r="CS25" s="59"/>
      <c r="CT25" s="59"/>
      <c r="CU25" s="59"/>
      <c r="CV25" s="59"/>
      <c r="CW25" s="59"/>
      <c r="CX25" s="59"/>
    </row>
    <row r="26" spans="1:102" s="46" customFormat="1" ht="12.75" customHeight="1" x14ac:dyDescent="0.3">
      <c r="A26" s="5"/>
      <c r="B26" s="33"/>
      <c r="C26" s="258" t="s">
        <v>439</v>
      </c>
      <c r="D26" s="258"/>
      <c r="E26" s="52" t="s">
        <v>47</v>
      </c>
      <c r="F26" s="259">
        <v>24364</v>
      </c>
      <c r="G26" s="259"/>
      <c r="H26" s="52" t="s">
        <v>55</v>
      </c>
      <c r="I26" s="52" t="s">
        <v>134</v>
      </c>
      <c r="J26" s="9"/>
      <c r="K26" s="45">
        <f t="shared" ca="1" si="42"/>
        <v>0</v>
      </c>
      <c r="L26" s="9"/>
      <c r="M26" s="45">
        <f t="shared" si="43"/>
        <v>50000000</v>
      </c>
      <c r="N26" s="9"/>
      <c r="O26" s="45">
        <f t="shared" ca="1" si="44"/>
        <v>50000000</v>
      </c>
      <c r="P26" s="2"/>
      <c r="Q26" s="170" t="str">
        <f ca="1">Q116</f>
        <v/>
      </c>
      <c r="R26" s="171" t="str">
        <f t="shared" ref="R26:R37" ca="1" si="101">+AE100</f>
        <v/>
      </c>
      <c r="S26" s="156"/>
      <c r="T26" s="170" t="str">
        <f>R116</f>
        <v/>
      </c>
      <c r="U26" s="171" t="str">
        <f>+S116</f>
        <v/>
      </c>
      <c r="V26" s="156"/>
      <c r="W26" s="170" t="str">
        <f ca="1">+T116</f>
        <v/>
      </c>
      <c r="X26" s="157"/>
      <c r="Y26" s="157"/>
      <c r="Z26" s="2" t="str">
        <f t="shared" si="66"/>
        <v/>
      </c>
      <c r="AA26" s="2">
        <f t="shared" si="67"/>
        <v>51.069130732375086</v>
      </c>
      <c r="AB26" s="2">
        <f t="shared" si="76"/>
        <v>51</v>
      </c>
      <c r="AC26" s="2">
        <f>IF(AA26="",0,IF(AA26&lt;=0,0,IF(Z26="Invalido",SUM(BK4:BK118),IF(AB26&lt;25,25-AA26,SUM(BK4:BK118)))))</f>
        <v>30.7</v>
      </c>
      <c r="AD26" s="2">
        <f t="shared" si="77"/>
        <v>324</v>
      </c>
      <c r="AE26" s="2">
        <f t="shared" ca="1" si="68"/>
        <v>38</v>
      </c>
      <c r="AF26" s="2">
        <f t="shared" ca="1" si="69"/>
        <v>286</v>
      </c>
      <c r="AG26" s="2">
        <f t="shared" ca="1" si="70"/>
        <v>2587015.2015373628</v>
      </c>
      <c r="AH26" s="2">
        <f t="shared" ca="1" si="71"/>
        <v>9583459.6910770368</v>
      </c>
      <c r="AI26" s="2">
        <f t="shared" ca="1" si="78"/>
        <v>0</v>
      </c>
      <c r="AJ26" s="2" t="e">
        <f t="shared" ca="1" si="79"/>
        <v>#REF!</v>
      </c>
      <c r="AK26" s="2">
        <f t="shared" si="45"/>
        <v>0</v>
      </c>
      <c r="AL26" s="2">
        <f t="shared" si="80"/>
        <v>0</v>
      </c>
      <c r="AM26" s="2">
        <f t="shared" si="46"/>
        <v>0</v>
      </c>
      <c r="AN26" s="2">
        <f t="shared" si="81"/>
        <v>0</v>
      </c>
      <c r="AO26" s="2">
        <f t="shared" si="47"/>
        <v>0</v>
      </c>
      <c r="AP26" s="2">
        <f t="shared" si="82"/>
        <v>0</v>
      </c>
      <c r="AQ26" s="2">
        <f t="shared" si="48"/>
        <v>0</v>
      </c>
      <c r="AR26" s="2">
        <f t="shared" si="83"/>
        <v>0</v>
      </c>
      <c r="AS26" s="2">
        <f t="shared" si="49"/>
        <v>0</v>
      </c>
      <c r="AT26" s="2">
        <f t="shared" si="84"/>
        <v>0</v>
      </c>
      <c r="AU26" s="2">
        <f t="shared" si="50"/>
        <v>0</v>
      </c>
      <c r="AV26" s="2">
        <f t="shared" si="85"/>
        <v>0</v>
      </c>
      <c r="AW26" s="2">
        <f t="shared" si="51"/>
        <v>0</v>
      </c>
      <c r="AX26" s="2">
        <f t="shared" si="86"/>
        <v>0</v>
      </c>
      <c r="AY26" s="2">
        <f t="shared" si="52"/>
        <v>0</v>
      </c>
      <c r="AZ26" s="2">
        <f t="shared" si="87"/>
        <v>0</v>
      </c>
      <c r="BA26" s="2">
        <f t="shared" si="53"/>
        <v>0</v>
      </c>
      <c r="BB26" s="2">
        <f t="shared" si="88"/>
        <v>0</v>
      </c>
      <c r="BC26" s="2">
        <f t="shared" si="54"/>
        <v>0</v>
      </c>
      <c r="BD26" s="2">
        <f t="shared" si="89"/>
        <v>0</v>
      </c>
      <c r="BE26" s="2">
        <f t="shared" si="55"/>
        <v>0</v>
      </c>
      <c r="BF26" s="2">
        <f t="shared" si="90"/>
        <v>0</v>
      </c>
      <c r="BG26" s="2">
        <f t="shared" si="56"/>
        <v>0</v>
      </c>
      <c r="BH26" s="2">
        <f t="shared" si="91"/>
        <v>0</v>
      </c>
      <c r="BI26" s="2">
        <f t="shared" si="57"/>
        <v>0</v>
      </c>
      <c r="BJ26" s="2">
        <f t="shared" si="92"/>
        <v>0</v>
      </c>
      <c r="BK26" s="2">
        <f t="shared" si="58"/>
        <v>0</v>
      </c>
      <c r="BL26" s="2">
        <f t="shared" si="93"/>
        <v>0</v>
      </c>
      <c r="BM26" s="2">
        <f t="shared" si="59"/>
        <v>0</v>
      </c>
      <c r="BN26" s="59">
        <f t="shared" si="94"/>
        <v>0</v>
      </c>
      <c r="BO26" s="59">
        <f t="shared" si="60"/>
        <v>0</v>
      </c>
      <c r="BP26" s="59">
        <f t="shared" si="95"/>
        <v>0</v>
      </c>
      <c r="BQ26" s="59">
        <f t="shared" si="61"/>
        <v>0</v>
      </c>
      <c r="BR26" s="59">
        <f t="shared" si="96"/>
        <v>0</v>
      </c>
      <c r="BS26" s="59">
        <f t="shared" si="62"/>
        <v>0</v>
      </c>
      <c r="BT26" s="59">
        <f t="shared" si="97"/>
        <v>0</v>
      </c>
      <c r="BU26" s="59">
        <f t="shared" si="63"/>
        <v>0</v>
      </c>
      <c r="BV26" s="59">
        <f t="shared" si="98"/>
        <v>0</v>
      </c>
      <c r="BW26" s="59">
        <f t="shared" si="64"/>
        <v>0</v>
      </c>
      <c r="BX26" s="59">
        <f t="shared" si="99"/>
        <v>0</v>
      </c>
      <c r="BY26" s="59">
        <f t="shared" si="65"/>
        <v>0</v>
      </c>
      <c r="BZ26" s="59">
        <f t="shared" si="100"/>
        <v>0</v>
      </c>
      <c r="CA26" s="59">
        <v>21</v>
      </c>
      <c r="CB26" s="60">
        <v>996898</v>
      </c>
      <c r="CC26" s="60">
        <f t="shared" si="72"/>
        <v>571</v>
      </c>
      <c r="CD26" s="61">
        <f t="shared" si="73"/>
        <v>5.7277675348932388E-4</v>
      </c>
      <c r="CE26" s="59">
        <v>59</v>
      </c>
      <c r="CF26" s="60">
        <v>998259</v>
      </c>
      <c r="CG26" s="60">
        <f t="shared" si="74"/>
        <v>321</v>
      </c>
      <c r="CH26" s="62">
        <f t="shared" si="75"/>
        <v>3.2155983567390829E-4</v>
      </c>
      <c r="CI26" s="59">
        <v>64.2</v>
      </c>
      <c r="CJ26" s="59">
        <v>21</v>
      </c>
      <c r="CK26" s="59">
        <v>35.51</v>
      </c>
      <c r="CL26" s="59">
        <v>44.1</v>
      </c>
      <c r="CM26" s="59"/>
      <c r="CN26" s="59"/>
      <c r="CO26" s="59"/>
      <c r="CP26" s="59"/>
      <c r="CQ26" s="59"/>
      <c r="CR26" s="59"/>
      <c r="CS26" s="59"/>
      <c r="CT26" s="59"/>
      <c r="CU26" s="59"/>
      <c r="CV26" s="59"/>
      <c r="CW26" s="59"/>
      <c r="CX26" s="59"/>
    </row>
    <row r="27" spans="1:102" s="46" customFormat="1" ht="12.75" customHeight="1" x14ac:dyDescent="0.3">
      <c r="A27" s="5"/>
      <c r="B27" s="33"/>
      <c r="C27" s="258" t="s">
        <v>440</v>
      </c>
      <c r="D27" s="258"/>
      <c r="E27" s="52" t="s">
        <v>51</v>
      </c>
      <c r="F27" s="259">
        <v>37969</v>
      </c>
      <c r="G27" s="259"/>
      <c r="H27" s="52" t="s">
        <v>7</v>
      </c>
      <c r="I27" s="52" t="s">
        <v>134</v>
      </c>
      <c r="J27" s="9"/>
      <c r="K27" s="45">
        <f t="shared" ca="1" si="42"/>
        <v>0</v>
      </c>
      <c r="L27" s="9"/>
      <c r="M27" s="45">
        <f t="shared" si="43"/>
        <v>35000000</v>
      </c>
      <c r="N27" s="9"/>
      <c r="O27" s="45">
        <f t="shared" ca="1" si="44"/>
        <v>35000000</v>
      </c>
      <c r="P27" s="2"/>
      <c r="Q27" s="170" t="str">
        <f ca="1">Q117</f>
        <v/>
      </c>
      <c r="R27" s="171" t="str">
        <f t="shared" ca="1" si="101"/>
        <v/>
      </c>
      <c r="S27" s="156"/>
      <c r="T27" s="170" t="str">
        <f>R117</f>
        <v/>
      </c>
      <c r="U27" s="171" t="str">
        <f>+S117</f>
        <v/>
      </c>
      <c r="V27" s="156"/>
      <c r="W27" s="170" t="str">
        <f ca="1">+T117</f>
        <v/>
      </c>
      <c r="X27" s="157"/>
      <c r="Y27" s="157"/>
      <c r="Z27" s="2" t="str">
        <f t="shared" si="66"/>
        <v/>
      </c>
      <c r="AA27" s="2">
        <f t="shared" si="67"/>
        <v>58.283367556468171</v>
      </c>
      <c r="AB27" s="2">
        <f t="shared" si="76"/>
        <v>58</v>
      </c>
      <c r="AC27" s="2">
        <f>IF(AA27="",0,IF(AA27&lt;=0,0,IF(Z27="Invalido",SUM(BI4:BI118),IF(AB27&lt;25,25-AA27,SUM(BI4:BI118)))))</f>
        <v>24.6</v>
      </c>
      <c r="AD27" s="2">
        <f t="shared" si="77"/>
        <v>295</v>
      </c>
      <c r="AE27" s="2">
        <f t="shared" ca="1" si="68"/>
        <v>38</v>
      </c>
      <c r="AF27" s="2">
        <f t="shared" ca="1" si="69"/>
        <v>257</v>
      </c>
      <c r="AG27" s="2">
        <f t="shared" ca="1" si="70"/>
        <v>2587015.2015373628</v>
      </c>
      <c r="AH27" s="2">
        <f t="shared" ca="1" si="71"/>
        <v>9101941.6309969891</v>
      </c>
      <c r="AI27" s="2">
        <f t="shared" ca="1" si="78"/>
        <v>0</v>
      </c>
      <c r="AJ27" s="2" t="e">
        <f t="shared" ca="1" si="79"/>
        <v>#REF!</v>
      </c>
      <c r="AK27" s="2">
        <f t="shared" si="45"/>
        <v>0</v>
      </c>
      <c r="AL27" s="2">
        <f t="shared" si="80"/>
        <v>0</v>
      </c>
      <c r="AM27" s="2">
        <f t="shared" si="46"/>
        <v>0</v>
      </c>
      <c r="AN27" s="2">
        <f t="shared" si="81"/>
        <v>0</v>
      </c>
      <c r="AO27" s="2">
        <f t="shared" si="47"/>
        <v>0</v>
      </c>
      <c r="AP27" s="2">
        <f t="shared" si="82"/>
        <v>0</v>
      </c>
      <c r="AQ27" s="2">
        <f t="shared" si="48"/>
        <v>0</v>
      </c>
      <c r="AR27" s="2">
        <f t="shared" si="83"/>
        <v>0</v>
      </c>
      <c r="AS27" s="2">
        <f t="shared" si="49"/>
        <v>0</v>
      </c>
      <c r="AT27" s="2">
        <f t="shared" si="84"/>
        <v>0</v>
      </c>
      <c r="AU27" s="2">
        <f t="shared" si="50"/>
        <v>0</v>
      </c>
      <c r="AV27" s="2">
        <f t="shared" si="85"/>
        <v>0</v>
      </c>
      <c r="AW27" s="2">
        <f t="shared" si="51"/>
        <v>0</v>
      </c>
      <c r="AX27" s="2">
        <f t="shared" si="86"/>
        <v>0</v>
      </c>
      <c r="AY27" s="2">
        <f t="shared" si="52"/>
        <v>0</v>
      </c>
      <c r="AZ27" s="2">
        <f t="shared" si="87"/>
        <v>0</v>
      </c>
      <c r="BA27" s="2">
        <f t="shared" si="53"/>
        <v>0</v>
      </c>
      <c r="BB27" s="2">
        <f t="shared" si="88"/>
        <v>0</v>
      </c>
      <c r="BC27" s="2">
        <f t="shared" si="54"/>
        <v>0</v>
      </c>
      <c r="BD27" s="2">
        <f t="shared" si="89"/>
        <v>0</v>
      </c>
      <c r="BE27" s="2">
        <f t="shared" si="55"/>
        <v>0</v>
      </c>
      <c r="BF27" s="2">
        <f t="shared" si="90"/>
        <v>0</v>
      </c>
      <c r="BG27" s="2">
        <f t="shared" si="56"/>
        <v>0</v>
      </c>
      <c r="BH27" s="2">
        <f t="shared" si="91"/>
        <v>0</v>
      </c>
      <c r="BI27" s="2">
        <f t="shared" si="57"/>
        <v>0</v>
      </c>
      <c r="BJ27" s="2">
        <f t="shared" si="92"/>
        <v>0</v>
      </c>
      <c r="BK27" s="2">
        <f t="shared" si="58"/>
        <v>0</v>
      </c>
      <c r="BL27" s="2">
        <f t="shared" si="93"/>
        <v>0</v>
      </c>
      <c r="BM27" s="2">
        <f t="shared" si="59"/>
        <v>0</v>
      </c>
      <c r="BN27" s="59">
        <f t="shared" si="94"/>
        <v>0</v>
      </c>
      <c r="BO27" s="59">
        <f t="shared" si="60"/>
        <v>0</v>
      </c>
      <c r="BP27" s="59">
        <f t="shared" si="95"/>
        <v>0</v>
      </c>
      <c r="BQ27" s="59">
        <f t="shared" si="61"/>
        <v>0</v>
      </c>
      <c r="BR27" s="59">
        <f t="shared" si="96"/>
        <v>0</v>
      </c>
      <c r="BS27" s="59">
        <f t="shared" si="62"/>
        <v>0</v>
      </c>
      <c r="BT27" s="59">
        <f t="shared" si="97"/>
        <v>0</v>
      </c>
      <c r="BU27" s="59">
        <f t="shared" si="63"/>
        <v>0</v>
      </c>
      <c r="BV27" s="59">
        <f t="shared" si="98"/>
        <v>0</v>
      </c>
      <c r="BW27" s="59">
        <f t="shared" si="64"/>
        <v>0</v>
      </c>
      <c r="BX27" s="59">
        <f t="shared" si="99"/>
        <v>0</v>
      </c>
      <c r="BY27" s="59">
        <f t="shared" si="65"/>
        <v>0</v>
      </c>
      <c r="BZ27" s="59">
        <f t="shared" si="100"/>
        <v>0</v>
      </c>
      <c r="CA27" s="59">
        <v>22</v>
      </c>
      <c r="CB27" s="60">
        <v>996327</v>
      </c>
      <c r="CC27" s="60">
        <f t="shared" si="72"/>
        <v>591</v>
      </c>
      <c r="CD27" s="61">
        <f t="shared" si="73"/>
        <v>5.9317874553234027E-4</v>
      </c>
      <c r="CE27" s="59">
        <v>58</v>
      </c>
      <c r="CF27" s="60">
        <v>997938</v>
      </c>
      <c r="CG27" s="60">
        <f t="shared" si="74"/>
        <v>332</v>
      </c>
      <c r="CH27" s="62">
        <f t="shared" si="75"/>
        <v>3.3268599852896675E-4</v>
      </c>
      <c r="CI27" s="59">
        <v>63.2</v>
      </c>
      <c r="CJ27" s="59">
        <v>22</v>
      </c>
      <c r="CK27" s="59">
        <v>35.06</v>
      </c>
      <c r="CL27" s="59">
        <v>43.52</v>
      </c>
      <c r="CM27" s="59"/>
      <c r="CN27" s="59"/>
      <c r="CO27" s="59"/>
      <c r="CP27" s="59"/>
      <c r="CQ27" s="59"/>
      <c r="CR27" s="59"/>
      <c r="CS27" s="59"/>
      <c r="CT27" s="59"/>
      <c r="CU27" s="59"/>
      <c r="CV27" s="59"/>
      <c r="CW27" s="59"/>
      <c r="CX27" s="59"/>
    </row>
    <row r="28" spans="1:102" s="46" customFormat="1" ht="12.75" customHeight="1" x14ac:dyDescent="0.3">
      <c r="A28" s="5"/>
      <c r="B28" s="33"/>
      <c r="C28" s="258" t="s">
        <v>441</v>
      </c>
      <c r="D28" s="258"/>
      <c r="E28" s="52" t="s">
        <v>51</v>
      </c>
      <c r="F28" s="259">
        <v>35683</v>
      </c>
      <c r="G28" s="259"/>
      <c r="H28" s="52" t="s">
        <v>55</v>
      </c>
      <c r="I28" s="52" t="s">
        <v>134</v>
      </c>
      <c r="J28" s="9"/>
      <c r="K28" s="45">
        <f t="shared" ca="1" si="42"/>
        <v>0</v>
      </c>
      <c r="L28" s="9"/>
      <c r="M28" s="45">
        <f t="shared" si="43"/>
        <v>35000000</v>
      </c>
      <c r="N28" s="9"/>
      <c r="O28" s="45">
        <f t="shared" ca="1" si="44"/>
        <v>35000000</v>
      </c>
      <c r="P28" s="2"/>
      <c r="Q28" s="170" t="str">
        <f ca="1">Q118</f>
        <v/>
      </c>
      <c r="R28" s="171" t="str">
        <f t="shared" ca="1" si="101"/>
        <v/>
      </c>
      <c r="S28" s="156"/>
      <c r="T28" s="170" t="str">
        <f>R118</f>
        <v/>
      </c>
      <c r="U28" s="171" t="str">
        <f>+S118</f>
        <v/>
      </c>
      <c r="V28" s="156"/>
      <c r="W28" s="170" t="str">
        <f ca="1">+T118</f>
        <v/>
      </c>
      <c r="X28" s="157"/>
      <c r="Y28" s="157"/>
      <c r="Z28" s="2" t="str">
        <f t="shared" si="66"/>
        <v/>
      </c>
      <c r="AA28" s="2">
        <f t="shared" si="67"/>
        <v>55.329226557152637</v>
      </c>
      <c r="AB28" s="2">
        <f t="shared" si="76"/>
        <v>55</v>
      </c>
      <c r="AC28" s="2">
        <f>IF(AA28="",0,IF(AA28&lt;=0,0,IF(Z28="Invalido",SUM(BG4:BG118),IF(AB28&lt;25,25-AA28,SUM(BG4:BG118)))))</f>
        <v>31.6</v>
      </c>
      <c r="AD28" s="2">
        <f t="shared" si="77"/>
        <v>324</v>
      </c>
      <c r="AE28" s="2">
        <f t="shared" ca="1" si="68"/>
        <v>38</v>
      </c>
      <c r="AF28" s="2">
        <f t="shared" ca="1" si="69"/>
        <v>286</v>
      </c>
      <c r="AG28" s="2">
        <f t="shared" ca="1" si="70"/>
        <v>2587015.2015373628</v>
      </c>
      <c r="AH28" s="2">
        <f t="shared" ca="1" si="71"/>
        <v>9583459.6910770368</v>
      </c>
      <c r="AI28" s="2">
        <f t="shared" ca="1" si="78"/>
        <v>0</v>
      </c>
      <c r="AJ28" s="2" t="e">
        <f t="shared" ca="1" si="79"/>
        <v>#REF!</v>
      </c>
      <c r="AK28" s="2">
        <f t="shared" si="45"/>
        <v>0</v>
      </c>
      <c r="AL28" s="2">
        <f t="shared" si="80"/>
        <v>0</v>
      </c>
      <c r="AM28" s="2">
        <f t="shared" si="46"/>
        <v>0</v>
      </c>
      <c r="AN28" s="2">
        <f t="shared" si="81"/>
        <v>0</v>
      </c>
      <c r="AO28" s="2">
        <f t="shared" si="47"/>
        <v>0</v>
      </c>
      <c r="AP28" s="2">
        <f t="shared" si="82"/>
        <v>0</v>
      </c>
      <c r="AQ28" s="2">
        <f t="shared" si="48"/>
        <v>0</v>
      </c>
      <c r="AR28" s="2">
        <f t="shared" si="83"/>
        <v>0</v>
      </c>
      <c r="AS28" s="2">
        <f t="shared" si="49"/>
        <v>0</v>
      </c>
      <c r="AT28" s="2">
        <f t="shared" si="84"/>
        <v>0</v>
      </c>
      <c r="AU28" s="2">
        <f t="shared" si="50"/>
        <v>0</v>
      </c>
      <c r="AV28" s="2">
        <f t="shared" si="85"/>
        <v>0</v>
      </c>
      <c r="AW28" s="2">
        <f t="shared" si="51"/>
        <v>0</v>
      </c>
      <c r="AX28" s="2">
        <f t="shared" si="86"/>
        <v>0</v>
      </c>
      <c r="AY28" s="2">
        <f t="shared" si="52"/>
        <v>0</v>
      </c>
      <c r="AZ28" s="2">
        <f t="shared" si="87"/>
        <v>0</v>
      </c>
      <c r="BA28" s="2">
        <f t="shared" si="53"/>
        <v>0</v>
      </c>
      <c r="BB28" s="2">
        <f t="shared" si="88"/>
        <v>0</v>
      </c>
      <c r="BC28" s="2">
        <f t="shared" si="54"/>
        <v>0</v>
      </c>
      <c r="BD28" s="2">
        <f t="shared" si="89"/>
        <v>0</v>
      </c>
      <c r="BE28" s="2">
        <f t="shared" si="55"/>
        <v>0</v>
      </c>
      <c r="BF28" s="2">
        <f t="shared" si="90"/>
        <v>0</v>
      </c>
      <c r="BG28" s="2">
        <f t="shared" si="56"/>
        <v>0</v>
      </c>
      <c r="BH28" s="2">
        <f t="shared" si="91"/>
        <v>0</v>
      </c>
      <c r="BI28" s="2">
        <f t="shared" si="57"/>
        <v>0</v>
      </c>
      <c r="BJ28" s="2">
        <f t="shared" si="92"/>
        <v>0</v>
      </c>
      <c r="BK28" s="2">
        <f t="shared" si="58"/>
        <v>0</v>
      </c>
      <c r="BL28" s="2">
        <f t="shared" si="93"/>
        <v>0</v>
      </c>
      <c r="BM28" s="2">
        <f t="shared" si="59"/>
        <v>0</v>
      </c>
      <c r="BN28" s="59">
        <f t="shared" si="94"/>
        <v>0</v>
      </c>
      <c r="BO28" s="59">
        <f t="shared" si="60"/>
        <v>0</v>
      </c>
      <c r="BP28" s="59">
        <f t="shared" si="95"/>
        <v>0</v>
      </c>
      <c r="BQ28" s="59">
        <f t="shared" si="61"/>
        <v>0</v>
      </c>
      <c r="BR28" s="59">
        <f t="shared" si="96"/>
        <v>0</v>
      </c>
      <c r="BS28" s="59">
        <f t="shared" si="62"/>
        <v>0</v>
      </c>
      <c r="BT28" s="59">
        <f t="shared" si="97"/>
        <v>0</v>
      </c>
      <c r="BU28" s="59">
        <f t="shared" si="63"/>
        <v>0</v>
      </c>
      <c r="BV28" s="59">
        <f t="shared" si="98"/>
        <v>0</v>
      </c>
      <c r="BW28" s="59">
        <f t="shared" si="64"/>
        <v>0</v>
      </c>
      <c r="BX28" s="59">
        <f t="shared" si="99"/>
        <v>0</v>
      </c>
      <c r="BY28" s="59">
        <f t="shared" si="65"/>
        <v>0</v>
      </c>
      <c r="BZ28" s="59">
        <f t="shared" si="100"/>
        <v>0</v>
      </c>
      <c r="CA28" s="59">
        <v>23</v>
      </c>
      <c r="CB28" s="60">
        <v>995736</v>
      </c>
      <c r="CC28" s="60">
        <f t="shared" si="72"/>
        <v>612</v>
      </c>
      <c r="CD28" s="61">
        <f t="shared" si="73"/>
        <v>6.1462074284750179E-4</v>
      </c>
      <c r="CE28" s="59">
        <v>57.1</v>
      </c>
      <c r="CF28" s="60">
        <v>997606</v>
      </c>
      <c r="CG28" s="60">
        <f t="shared" si="74"/>
        <v>344</v>
      </c>
      <c r="CH28" s="62">
        <f t="shared" si="75"/>
        <v>3.448255122763897E-4</v>
      </c>
      <c r="CI28" s="59">
        <v>62.2</v>
      </c>
      <c r="CJ28" s="59">
        <v>23</v>
      </c>
      <c r="CK28" s="59">
        <v>34.61</v>
      </c>
      <c r="CL28" s="59">
        <v>42.94</v>
      </c>
      <c r="CM28" s="59"/>
      <c r="CN28" s="59"/>
      <c r="CO28" s="59"/>
      <c r="CP28" s="59"/>
      <c r="CQ28" s="59"/>
      <c r="CR28" s="59"/>
      <c r="CS28" s="59"/>
      <c r="CT28" s="59"/>
      <c r="CU28" s="59"/>
      <c r="CV28" s="59"/>
      <c r="CW28" s="59"/>
      <c r="CX28" s="59"/>
    </row>
    <row r="29" spans="1:102" s="46" customFormat="1" ht="12.75" customHeight="1" x14ac:dyDescent="0.3">
      <c r="A29" s="5"/>
      <c r="B29" s="33"/>
      <c r="C29" s="258" t="s">
        <v>442</v>
      </c>
      <c r="D29" s="258"/>
      <c r="E29" s="52" t="s">
        <v>51</v>
      </c>
      <c r="F29" s="259">
        <v>34493</v>
      </c>
      <c r="G29" s="259"/>
      <c r="H29" s="52" t="s">
        <v>55</v>
      </c>
      <c r="I29" s="52" t="s">
        <v>134</v>
      </c>
      <c r="J29" s="9"/>
      <c r="K29" s="45">
        <f t="shared" ca="1" si="42"/>
        <v>0</v>
      </c>
      <c r="L29" s="9"/>
      <c r="M29" s="45">
        <f t="shared" si="43"/>
        <v>35000000</v>
      </c>
      <c r="N29" s="9"/>
      <c r="O29" s="45">
        <f t="shared" ca="1" si="44"/>
        <v>35000000</v>
      </c>
      <c r="P29" s="2"/>
      <c r="Q29" s="170" t="str">
        <f ca="1">Q122</f>
        <v/>
      </c>
      <c r="R29" s="171" t="str">
        <f t="shared" ca="1" si="101"/>
        <v/>
      </c>
      <c r="S29" s="156"/>
      <c r="T29" s="170" t="str">
        <f>R122</f>
        <v/>
      </c>
      <c r="U29" s="171" t="str">
        <f>+S122</f>
        <v/>
      </c>
      <c r="V29" s="156"/>
      <c r="W29" s="170" t="str">
        <f ca="1">+T122</f>
        <v/>
      </c>
      <c r="X29" s="157"/>
      <c r="Y29" s="157"/>
      <c r="Z29" s="2" t="str">
        <f t="shared" si="66"/>
        <v/>
      </c>
      <c r="AA29" s="2">
        <f t="shared" si="67"/>
        <v>18.080766598220396</v>
      </c>
      <c r="AB29" s="2">
        <f t="shared" si="76"/>
        <v>18</v>
      </c>
      <c r="AC29" s="2">
        <f>IF(AA29="",0,IF(AA29&lt;=0,0,IF(Z29="Invalido",SUM(BE4:BE118),IF(AB29&lt;25,25-AA29,SUM(BE4:BE118)))))</f>
        <v>6.9192334017796036</v>
      </c>
      <c r="AD29" s="2">
        <f t="shared" si="77"/>
        <v>83</v>
      </c>
      <c r="AE29" s="2">
        <f t="shared" ca="1" si="68"/>
        <v>38</v>
      </c>
      <c r="AF29" s="2">
        <f t="shared" ca="1" si="69"/>
        <v>45</v>
      </c>
      <c r="AG29" s="2">
        <f t="shared" ca="1" si="70"/>
        <v>2587015.2015373628</v>
      </c>
      <c r="AH29" s="2">
        <f t="shared" ca="1" si="71"/>
        <v>2505932.2282808437</v>
      </c>
      <c r="AI29" s="2">
        <f t="shared" ca="1" si="78"/>
        <v>0</v>
      </c>
      <c r="AJ29" s="2" t="e">
        <f t="shared" ca="1" si="79"/>
        <v>#REF!</v>
      </c>
      <c r="AK29" s="2">
        <f t="shared" si="45"/>
        <v>0</v>
      </c>
      <c r="AL29" s="2">
        <f t="shared" si="80"/>
        <v>0</v>
      </c>
      <c r="AM29" s="2">
        <f t="shared" si="46"/>
        <v>0</v>
      </c>
      <c r="AN29" s="2">
        <f t="shared" si="81"/>
        <v>0</v>
      </c>
      <c r="AO29" s="2">
        <f t="shared" si="47"/>
        <v>0</v>
      </c>
      <c r="AP29" s="2">
        <f t="shared" si="82"/>
        <v>0</v>
      </c>
      <c r="AQ29" s="2">
        <f t="shared" si="48"/>
        <v>0</v>
      </c>
      <c r="AR29" s="2">
        <f t="shared" si="83"/>
        <v>0</v>
      </c>
      <c r="AS29" s="2">
        <f t="shared" si="49"/>
        <v>0</v>
      </c>
      <c r="AT29" s="2">
        <f t="shared" si="84"/>
        <v>0</v>
      </c>
      <c r="AU29" s="2">
        <f t="shared" si="50"/>
        <v>0</v>
      </c>
      <c r="AV29" s="2">
        <f t="shared" si="85"/>
        <v>0</v>
      </c>
      <c r="AW29" s="2">
        <f t="shared" si="51"/>
        <v>0</v>
      </c>
      <c r="AX29" s="2">
        <f t="shared" si="86"/>
        <v>0</v>
      </c>
      <c r="AY29" s="2">
        <f t="shared" si="52"/>
        <v>0</v>
      </c>
      <c r="AZ29" s="2">
        <f t="shared" si="87"/>
        <v>0</v>
      </c>
      <c r="BA29" s="2">
        <f t="shared" si="53"/>
        <v>0</v>
      </c>
      <c r="BB29" s="2">
        <f t="shared" si="88"/>
        <v>0</v>
      </c>
      <c r="BC29" s="2">
        <f t="shared" si="54"/>
        <v>61.2</v>
      </c>
      <c r="BD29" s="2">
        <f t="shared" si="89"/>
        <v>1</v>
      </c>
      <c r="BE29" s="2">
        <f t="shared" si="55"/>
        <v>0</v>
      </c>
      <c r="BF29" s="2">
        <f t="shared" si="90"/>
        <v>0</v>
      </c>
      <c r="BG29" s="2">
        <f t="shared" si="56"/>
        <v>0</v>
      </c>
      <c r="BH29" s="2">
        <f t="shared" si="91"/>
        <v>0</v>
      </c>
      <c r="BI29" s="2">
        <f t="shared" si="57"/>
        <v>0</v>
      </c>
      <c r="BJ29" s="2">
        <f t="shared" si="92"/>
        <v>0</v>
      </c>
      <c r="BK29" s="2">
        <f t="shared" si="58"/>
        <v>0</v>
      </c>
      <c r="BL29" s="2">
        <f t="shared" si="93"/>
        <v>0</v>
      </c>
      <c r="BM29" s="2">
        <f t="shared" si="59"/>
        <v>0</v>
      </c>
      <c r="BN29" s="59">
        <f t="shared" si="94"/>
        <v>0</v>
      </c>
      <c r="BO29" s="59">
        <f t="shared" si="60"/>
        <v>0</v>
      </c>
      <c r="BP29" s="59">
        <f t="shared" si="95"/>
        <v>0</v>
      </c>
      <c r="BQ29" s="59">
        <f t="shared" si="61"/>
        <v>0</v>
      </c>
      <c r="BR29" s="59">
        <f t="shared" si="96"/>
        <v>0</v>
      </c>
      <c r="BS29" s="59">
        <f t="shared" si="62"/>
        <v>0</v>
      </c>
      <c r="BT29" s="59">
        <f t="shared" si="97"/>
        <v>0</v>
      </c>
      <c r="BU29" s="59">
        <f t="shared" si="63"/>
        <v>0</v>
      </c>
      <c r="BV29" s="59">
        <f t="shared" si="98"/>
        <v>0</v>
      </c>
      <c r="BW29" s="59">
        <f t="shared" si="64"/>
        <v>0</v>
      </c>
      <c r="BX29" s="59">
        <f t="shared" si="99"/>
        <v>0</v>
      </c>
      <c r="BY29" s="59">
        <f t="shared" si="65"/>
        <v>0</v>
      </c>
      <c r="BZ29" s="59">
        <f t="shared" si="100"/>
        <v>0</v>
      </c>
      <c r="CA29" s="59">
        <v>24</v>
      </c>
      <c r="CB29" s="60">
        <v>995124</v>
      </c>
      <c r="CC29" s="60">
        <f t="shared" si="72"/>
        <v>636</v>
      </c>
      <c r="CD29" s="61">
        <f t="shared" si="73"/>
        <v>6.3911633123108272E-4</v>
      </c>
      <c r="CE29" s="59">
        <v>56.1</v>
      </c>
      <c r="CF29" s="60">
        <v>997262</v>
      </c>
      <c r="CG29" s="60">
        <f t="shared" si="74"/>
        <v>357</v>
      </c>
      <c r="CH29" s="62">
        <f t="shared" si="75"/>
        <v>3.5798014964974099E-4</v>
      </c>
      <c r="CI29" s="59">
        <v>61.2</v>
      </c>
      <c r="CJ29" s="59">
        <v>24</v>
      </c>
      <c r="CK29" s="59">
        <v>34.159999999999997</v>
      </c>
      <c r="CL29" s="59">
        <v>42.35</v>
      </c>
      <c r="CM29" s="59"/>
      <c r="CN29" s="59"/>
      <c r="CO29" s="59"/>
      <c r="CP29" s="59"/>
      <c r="CQ29" s="59"/>
      <c r="CR29" s="59"/>
      <c r="CS29" s="59"/>
      <c r="CT29" s="59"/>
      <c r="CU29" s="59"/>
      <c r="CV29" s="59"/>
      <c r="CW29" s="59"/>
      <c r="CX29" s="59"/>
    </row>
    <row r="30" spans="1:102" s="46" customFormat="1" ht="12.75" customHeight="1" x14ac:dyDescent="0.3">
      <c r="A30" s="5"/>
      <c r="B30" s="33"/>
      <c r="C30" s="258" t="s">
        <v>443</v>
      </c>
      <c r="D30" s="258"/>
      <c r="E30" s="52" t="s">
        <v>51</v>
      </c>
      <c r="F30" s="259">
        <v>32921</v>
      </c>
      <c r="G30" s="259"/>
      <c r="H30" s="52" t="s">
        <v>55</v>
      </c>
      <c r="I30" s="52" t="s">
        <v>134</v>
      </c>
      <c r="J30" s="9"/>
      <c r="K30" s="45">
        <f t="shared" ca="1" si="42"/>
        <v>0</v>
      </c>
      <c r="L30" s="9"/>
      <c r="M30" s="45">
        <f t="shared" si="43"/>
        <v>35000000</v>
      </c>
      <c r="N30" s="9"/>
      <c r="O30" s="45">
        <f t="shared" ca="1" si="44"/>
        <v>35000000</v>
      </c>
      <c r="P30" s="2"/>
      <c r="Q30" s="170" t="str">
        <f ca="1">Q123</f>
        <v/>
      </c>
      <c r="R30" s="171" t="str">
        <f t="shared" ca="1" si="101"/>
        <v/>
      </c>
      <c r="S30" s="156"/>
      <c r="T30" s="170" t="str">
        <f>R123</f>
        <v/>
      </c>
      <c r="U30" s="171" t="str">
        <f>+S123</f>
        <v/>
      </c>
      <c r="V30" s="156"/>
      <c r="W30" s="170" t="str">
        <f ca="1">+T123</f>
        <v/>
      </c>
      <c r="X30" s="157"/>
      <c r="Y30" s="157"/>
      <c r="Z30" s="2" t="str">
        <f t="shared" si="66"/>
        <v/>
      </c>
      <c r="AA30" s="2">
        <f t="shared" si="67"/>
        <v>24.33949349760438</v>
      </c>
      <c r="AB30" s="2">
        <f>IF(AA30="","",INT(AA30))</f>
        <v>24</v>
      </c>
      <c r="AC30" s="2">
        <f>IF(AA30="",0,IF(AA30&lt;=0,0,IF(Z30="Invalido",SUM(BC4:BC118),IF(AB30&lt;25,25-AA30,SUM(BC4:BC118)))))</f>
        <v>0.66050650239562003</v>
      </c>
      <c r="AD30" s="2">
        <f>IF(INT(AC30*12)&lt;$AB$15,INT(AC30*12),$AB$15)</f>
        <v>7</v>
      </c>
      <c r="AE30" s="2">
        <f ca="1">IF(AD30&lt;$AD$8,AD30,$AD$8)</f>
        <v>7</v>
      </c>
      <c r="AF30" s="2">
        <f ca="1">+AD30-AE30</f>
        <v>0</v>
      </c>
      <c r="AG30" s="2">
        <f t="shared" ca="1" si="70"/>
        <v>441403.20720836852</v>
      </c>
      <c r="AH30" s="2">
        <f t="shared" ca="1" si="71"/>
        <v>0</v>
      </c>
      <c r="AI30" s="2">
        <f ca="1">IF(ISERR((AG30+AH30)*Z101)=TRUE,0,(AG30+AH30)*Z101)</f>
        <v>0</v>
      </c>
      <c r="AJ30" s="2" t="e">
        <f t="shared" ca="1" si="79"/>
        <v>#REF!</v>
      </c>
      <c r="AK30" s="2">
        <f t="shared" si="45"/>
        <v>0</v>
      </c>
      <c r="AL30" s="2">
        <f t="shared" si="80"/>
        <v>0</v>
      </c>
      <c r="AM30" s="2">
        <f t="shared" si="46"/>
        <v>0</v>
      </c>
      <c r="AN30" s="2">
        <f t="shared" si="81"/>
        <v>0</v>
      </c>
      <c r="AO30" s="2">
        <f t="shared" si="47"/>
        <v>0</v>
      </c>
      <c r="AP30" s="2">
        <f t="shared" si="82"/>
        <v>0</v>
      </c>
      <c r="AQ30" s="2">
        <f t="shared" si="48"/>
        <v>0</v>
      </c>
      <c r="AR30" s="2">
        <f t="shared" si="83"/>
        <v>0</v>
      </c>
      <c r="AS30" s="2">
        <f t="shared" si="49"/>
        <v>0</v>
      </c>
      <c r="AT30" s="2">
        <f t="shared" si="84"/>
        <v>0</v>
      </c>
      <c r="AU30" s="2">
        <f t="shared" si="50"/>
        <v>0</v>
      </c>
      <c r="AV30" s="2">
        <f t="shared" si="85"/>
        <v>0</v>
      </c>
      <c r="AW30" s="2">
        <f t="shared" si="51"/>
        <v>0</v>
      </c>
      <c r="AX30" s="2">
        <f t="shared" si="86"/>
        <v>0</v>
      </c>
      <c r="AY30" s="2">
        <f t="shared" si="52"/>
        <v>0</v>
      </c>
      <c r="AZ30" s="2">
        <f t="shared" si="87"/>
        <v>0</v>
      </c>
      <c r="BA30" s="2">
        <f t="shared" si="53"/>
        <v>0</v>
      </c>
      <c r="BB30" s="2">
        <f t="shared" si="88"/>
        <v>0</v>
      </c>
      <c r="BC30" s="2">
        <f t="shared" si="54"/>
        <v>0</v>
      </c>
      <c r="BD30" s="2">
        <f t="shared" si="89"/>
        <v>0</v>
      </c>
      <c r="BE30" s="2">
        <f t="shared" si="55"/>
        <v>0</v>
      </c>
      <c r="BF30" s="2">
        <f t="shared" si="90"/>
        <v>0</v>
      </c>
      <c r="BG30" s="2">
        <f t="shared" si="56"/>
        <v>0</v>
      </c>
      <c r="BH30" s="2">
        <f t="shared" si="91"/>
        <v>0</v>
      </c>
      <c r="BI30" s="2">
        <f t="shared" si="57"/>
        <v>0</v>
      </c>
      <c r="BJ30" s="2">
        <f t="shared" si="92"/>
        <v>0</v>
      </c>
      <c r="BK30" s="2">
        <f t="shared" si="58"/>
        <v>0</v>
      </c>
      <c r="BL30" s="2">
        <f t="shared" si="93"/>
        <v>0</v>
      </c>
      <c r="BM30" s="2">
        <f t="shared" si="59"/>
        <v>0</v>
      </c>
      <c r="BN30" s="59">
        <f t="shared" si="94"/>
        <v>0</v>
      </c>
      <c r="BO30" s="59">
        <f t="shared" si="60"/>
        <v>0</v>
      </c>
      <c r="BP30" s="59">
        <f t="shared" si="95"/>
        <v>0</v>
      </c>
      <c r="BQ30" s="59">
        <f t="shared" si="61"/>
        <v>0</v>
      </c>
      <c r="BR30" s="59">
        <f t="shared" si="96"/>
        <v>0</v>
      </c>
      <c r="BS30" s="59">
        <f t="shared" si="62"/>
        <v>0</v>
      </c>
      <c r="BT30" s="59">
        <f t="shared" si="97"/>
        <v>0</v>
      </c>
      <c r="BU30" s="59">
        <f t="shared" si="63"/>
        <v>0</v>
      </c>
      <c r="BV30" s="59">
        <f t="shared" si="98"/>
        <v>0</v>
      </c>
      <c r="BW30" s="59">
        <f t="shared" si="64"/>
        <v>60.2</v>
      </c>
      <c r="BX30" s="59">
        <f t="shared" si="99"/>
        <v>1</v>
      </c>
      <c r="BY30" s="59">
        <f t="shared" si="65"/>
        <v>0</v>
      </c>
      <c r="BZ30" s="59">
        <f t="shared" si="100"/>
        <v>0</v>
      </c>
      <c r="CA30" s="59">
        <v>25</v>
      </c>
      <c r="CB30" s="60">
        <v>994488</v>
      </c>
      <c r="CC30" s="60">
        <f t="shared" si="72"/>
        <v>662</v>
      </c>
      <c r="CD30" s="61">
        <f t="shared" si="73"/>
        <v>6.6566916845653239E-4</v>
      </c>
      <c r="CE30" s="59">
        <v>55.1</v>
      </c>
      <c r="CF30" s="60">
        <v>996905</v>
      </c>
      <c r="CG30" s="60">
        <f t="shared" si="74"/>
        <v>372</v>
      </c>
      <c r="CH30" s="62">
        <f t="shared" si="75"/>
        <v>3.7315491446025448E-4</v>
      </c>
      <c r="CI30" s="59">
        <v>60.2</v>
      </c>
      <c r="CJ30" s="59">
        <v>25</v>
      </c>
      <c r="CK30" s="59">
        <v>33.700000000000003</v>
      </c>
      <c r="CL30" s="59">
        <v>41.75</v>
      </c>
      <c r="CM30" s="59"/>
      <c r="CN30" s="59"/>
      <c r="CO30" s="59"/>
      <c r="CP30" s="59"/>
      <c r="CQ30" s="59"/>
      <c r="CR30" s="59"/>
      <c r="CS30" s="59"/>
      <c r="CT30" s="59"/>
      <c r="CU30" s="59"/>
      <c r="CV30" s="59"/>
      <c r="CW30" s="59"/>
      <c r="CX30" s="59"/>
    </row>
    <row r="31" spans="1:102" s="46" customFormat="1" ht="12.75" customHeight="1" x14ac:dyDescent="0.3">
      <c r="A31" s="5"/>
      <c r="B31" s="33"/>
      <c r="C31" s="258" t="s">
        <v>444</v>
      </c>
      <c r="D31" s="258"/>
      <c r="E31" s="52" t="s">
        <v>51</v>
      </c>
      <c r="F31" s="259">
        <v>32981</v>
      </c>
      <c r="G31" s="259"/>
      <c r="H31" s="52" t="s">
        <v>55</v>
      </c>
      <c r="I31" s="52" t="s">
        <v>134</v>
      </c>
      <c r="J31" s="9"/>
      <c r="K31" s="45">
        <f t="shared" ca="1" si="42"/>
        <v>0</v>
      </c>
      <c r="L31" s="9"/>
      <c r="M31" s="45">
        <f t="shared" si="43"/>
        <v>35000000</v>
      </c>
      <c r="N31" s="9"/>
      <c r="O31" s="45">
        <f t="shared" ca="1" si="44"/>
        <v>35000000</v>
      </c>
      <c r="P31" s="2"/>
      <c r="Q31" s="170" t="str">
        <f ca="1">Q124</f>
        <v/>
      </c>
      <c r="R31" s="171" t="str">
        <f t="shared" ca="1" si="101"/>
        <v/>
      </c>
      <c r="S31" s="156"/>
      <c r="T31" s="170" t="str">
        <f>R124</f>
        <v/>
      </c>
      <c r="U31" s="171" t="str">
        <f>+S124</f>
        <v/>
      </c>
      <c r="V31" s="156"/>
      <c r="W31" s="170" t="str">
        <f ca="1">+T124</f>
        <v/>
      </c>
      <c r="X31" s="157"/>
      <c r="Y31" s="157"/>
      <c r="Z31" s="2" t="str">
        <f t="shared" si="66"/>
        <v/>
      </c>
      <c r="AA31" s="2">
        <f t="shared" si="67"/>
        <v>27.597535934291582</v>
      </c>
      <c r="AB31" s="2">
        <f t="shared" si="76"/>
        <v>27</v>
      </c>
      <c r="AC31" s="2">
        <f>IF(AA31="",0,IF(AA31&lt;=0,0,IF(Z31="Invalido",SUM(BA4:BA118),IF(AB31&lt;25,25-AA31,SUM(BA4:BA118)))))</f>
        <v>58.3</v>
      </c>
      <c r="AD31" s="2">
        <f t="shared" si="77"/>
        <v>324</v>
      </c>
      <c r="AE31" s="2">
        <f t="shared" ca="1" si="68"/>
        <v>38</v>
      </c>
      <c r="AF31" s="2">
        <f t="shared" ca="1" si="69"/>
        <v>286</v>
      </c>
      <c r="AG31" s="2">
        <f t="shared" ca="1" si="70"/>
        <v>2587015.2015373628</v>
      </c>
      <c r="AH31" s="2">
        <f t="shared" ca="1" si="71"/>
        <v>9583459.6910770368</v>
      </c>
      <c r="AI31" s="2">
        <f t="shared" ca="1" si="78"/>
        <v>0</v>
      </c>
      <c r="AJ31" s="2" t="e">
        <f t="shared" ca="1" si="79"/>
        <v>#REF!</v>
      </c>
      <c r="AK31" s="2">
        <f t="shared" si="45"/>
        <v>0</v>
      </c>
      <c r="AL31" s="2">
        <f t="shared" si="80"/>
        <v>0</v>
      </c>
      <c r="AM31" s="2">
        <f t="shared" si="46"/>
        <v>0</v>
      </c>
      <c r="AN31" s="2">
        <f t="shared" si="81"/>
        <v>0</v>
      </c>
      <c r="AO31" s="2">
        <f t="shared" si="47"/>
        <v>0</v>
      </c>
      <c r="AP31" s="2">
        <f t="shared" si="82"/>
        <v>0</v>
      </c>
      <c r="AQ31" s="2">
        <f t="shared" si="48"/>
        <v>0</v>
      </c>
      <c r="AR31" s="2">
        <f t="shared" si="83"/>
        <v>0</v>
      </c>
      <c r="AS31" s="2">
        <f t="shared" si="49"/>
        <v>0</v>
      </c>
      <c r="AT31" s="2">
        <f t="shared" si="84"/>
        <v>0</v>
      </c>
      <c r="AU31" s="2">
        <f t="shared" si="50"/>
        <v>0</v>
      </c>
      <c r="AV31" s="2">
        <f t="shared" si="85"/>
        <v>0</v>
      </c>
      <c r="AW31" s="2">
        <f t="shared" si="51"/>
        <v>0</v>
      </c>
      <c r="AX31" s="2">
        <f t="shared" si="86"/>
        <v>0</v>
      </c>
      <c r="AY31" s="2">
        <f t="shared" si="52"/>
        <v>0</v>
      </c>
      <c r="AZ31" s="2">
        <f t="shared" si="87"/>
        <v>0</v>
      </c>
      <c r="BA31" s="2">
        <f t="shared" si="53"/>
        <v>0</v>
      </c>
      <c r="BB31" s="2">
        <f t="shared" si="88"/>
        <v>0</v>
      </c>
      <c r="BC31" s="2">
        <f t="shared" si="54"/>
        <v>0</v>
      </c>
      <c r="BD31" s="2">
        <f t="shared" si="89"/>
        <v>0</v>
      </c>
      <c r="BE31" s="2">
        <f t="shared" si="55"/>
        <v>0</v>
      </c>
      <c r="BF31" s="2">
        <f t="shared" si="90"/>
        <v>0</v>
      </c>
      <c r="BG31" s="2">
        <f t="shared" si="56"/>
        <v>0</v>
      </c>
      <c r="BH31" s="2">
        <f t="shared" si="91"/>
        <v>0</v>
      </c>
      <c r="BI31" s="2">
        <f t="shared" si="57"/>
        <v>0</v>
      </c>
      <c r="BJ31" s="2">
        <f t="shared" si="92"/>
        <v>0</v>
      </c>
      <c r="BK31" s="2">
        <f t="shared" si="58"/>
        <v>0</v>
      </c>
      <c r="BL31" s="2">
        <f t="shared" si="93"/>
        <v>0</v>
      </c>
      <c r="BM31" s="2">
        <f t="shared" si="59"/>
        <v>0</v>
      </c>
      <c r="BN31" s="59">
        <f t="shared" si="94"/>
        <v>0</v>
      </c>
      <c r="BO31" s="59">
        <f t="shared" si="60"/>
        <v>0</v>
      </c>
      <c r="BP31" s="59">
        <f t="shared" si="95"/>
        <v>0</v>
      </c>
      <c r="BQ31" s="59">
        <f t="shared" si="61"/>
        <v>0</v>
      </c>
      <c r="BR31" s="59">
        <f t="shared" si="96"/>
        <v>0</v>
      </c>
      <c r="BS31" s="59">
        <f t="shared" si="62"/>
        <v>0</v>
      </c>
      <c r="BT31" s="59">
        <f t="shared" si="97"/>
        <v>0</v>
      </c>
      <c r="BU31" s="59">
        <f t="shared" si="63"/>
        <v>0</v>
      </c>
      <c r="BV31" s="59">
        <f t="shared" si="98"/>
        <v>0</v>
      </c>
      <c r="BW31" s="59">
        <f t="shared" si="64"/>
        <v>0</v>
      </c>
      <c r="BX31" s="59">
        <f t="shared" si="99"/>
        <v>0</v>
      </c>
      <c r="BY31" s="59">
        <f t="shared" si="65"/>
        <v>0</v>
      </c>
      <c r="BZ31" s="59">
        <f t="shared" si="100"/>
        <v>0</v>
      </c>
      <c r="CA31" s="59">
        <v>26</v>
      </c>
      <c r="CB31" s="60">
        <v>993826</v>
      </c>
      <c r="CC31" s="60">
        <f t="shared" si="72"/>
        <v>690</v>
      </c>
      <c r="CD31" s="61">
        <f t="shared" si="73"/>
        <v>6.9428652500538326E-4</v>
      </c>
      <c r="CE31" s="59">
        <v>54.2</v>
      </c>
      <c r="CF31" s="60">
        <v>996533</v>
      </c>
      <c r="CG31" s="60">
        <f t="shared" si="74"/>
        <v>388</v>
      </c>
      <c r="CH31" s="62">
        <f t="shared" si="75"/>
        <v>3.8934987602016189E-4</v>
      </c>
      <c r="CI31" s="59">
        <v>59.3</v>
      </c>
      <c r="CJ31" s="59">
        <v>26</v>
      </c>
      <c r="CK31" s="59">
        <v>33.24</v>
      </c>
      <c r="CL31" s="59">
        <v>41.16</v>
      </c>
      <c r="CM31" s="59"/>
      <c r="CN31" s="59"/>
      <c r="CO31" s="59"/>
      <c r="CP31" s="59"/>
      <c r="CQ31" s="59"/>
      <c r="CR31" s="59"/>
      <c r="CS31" s="59"/>
      <c r="CT31" s="59"/>
      <c r="CU31" s="59"/>
      <c r="CV31" s="59"/>
      <c r="CW31" s="59"/>
      <c r="CX31" s="59"/>
    </row>
    <row r="32" spans="1:102" s="46" customFormat="1" ht="12.75" customHeight="1" x14ac:dyDescent="0.3">
      <c r="A32" s="5"/>
      <c r="B32" s="33"/>
      <c r="C32" s="258" t="s">
        <v>445</v>
      </c>
      <c r="D32" s="258"/>
      <c r="E32" s="52" t="s">
        <v>51</v>
      </c>
      <c r="F32" s="259">
        <v>39031</v>
      </c>
      <c r="G32" s="259"/>
      <c r="H32" s="52" t="s">
        <v>55</v>
      </c>
      <c r="I32" s="52" t="s">
        <v>134</v>
      </c>
      <c r="J32" s="9"/>
      <c r="K32" s="45">
        <f t="shared" ca="1" si="42"/>
        <v>0</v>
      </c>
      <c r="L32" s="9"/>
      <c r="M32" s="45">
        <f t="shared" si="43"/>
        <v>35000000</v>
      </c>
      <c r="N32" s="9"/>
      <c r="O32" s="45">
        <f t="shared" ca="1" si="44"/>
        <v>35000000</v>
      </c>
      <c r="P32" s="2"/>
      <c r="Q32" s="170" t="str">
        <f ca="1">Q125</f>
        <v/>
      </c>
      <c r="R32" s="171" t="str">
        <f t="shared" ca="1" si="101"/>
        <v/>
      </c>
      <c r="S32" s="156"/>
      <c r="T32" s="170" t="str">
        <f>R125</f>
        <v/>
      </c>
      <c r="U32" s="171" t="str">
        <f>+S125</f>
        <v/>
      </c>
      <c r="V32" s="156"/>
      <c r="W32" s="170" t="str">
        <f ca="1">+T125</f>
        <v/>
      </c>
      <c r="X32" s="157"/>
      <c r="Y32" s="157"/>
      <c r="Z32" s="2" t="str">
        <f t="shared" si="66"/>
        <v/>
      </c>
      <c r="AA32" s="2">
        <f t="shared" si="67"/>
        <v>31.901437371663246</v>
      </c>
      <c r="AB32" s="2">
        <f t="shared" si="76"/>
        <v>31</v>
      </c>
      <c r="AC32" s="2">
        <f>IF(AA32="",0,IF(AA32&lt;=0,0,IF(Z32="Invalido",SUM(AY4:AY118),IF(AB32&lt;25,25-AA32,SUM(AY4:AY118)))))</f>
        <v>54.4</v>
      </c>
      <c r="AD32" s="2">
        <f t="shared" si="77"/>
        <v>324</v>
      </c>
      <c r="AE32" s="2">
        <f t="shared" ca="1" si="68"/>
        <v>38</v>
      </c>
      <c r="AF32" s="2">
        <f t="shared" ca="1" si="69"/>
        <v>286</v>
      </c>
      <c r="AG32" s="2">
        <f t="shared" ca="1" si="70"/>
        <v>2587015.2015373628</v>
      </c>
      <c r="AH32" s="2">
        <f t="shared" ca="1" si="71"/>
        <v>9583459.6910770368</v>
      </c>
      <c r="AI32" s="2">
        <f t="shared" ca="1" si="78"/>
        <v>0</v>
      </c>
      <c r="AJ32" s="2" t="e">
        <f t="shared" ca="1" si="79"/>
        <v>#REF!</v>
      </c>
      <c r="AK32" s="2">
        <f t="shared" si="45"/>
        <v>0</v>
      </c>
      <c r="AL32" s="2">
        <f t="shared" si="80"/>
        <v>0</v>
      </c>
      <c r="AM32" s="2">
        <f t="shared" si="46"/>
        <v>0</v>
      </c>
      <c r="AN32" s="2">
        <f t="shared" si="81"/>
        <v>0</v>
      </c>
      <c r="AO32" s="2">
        <f t="shared" si="47"/>
        <v>0</v>
      </c>
      <c r="AP32" s="2">
        <f t="shared" si="82"/>
        <v>0</v>
      </c>
      <c r="AQ32" s="2">
        <f t="shared" si="48"/>
        <v>0</v>
      </c>
      <c r="AR32" s="2">
        <f t="shared" si="83"/>
        <v>0</v>
      </c>
      <c r="AS32" s="2">
        <f t="shared" si="49"/>
        <v>0</v>
      </c>
      <c r="AT32" s="2">
        <f t="shared" si="84"/>
        <v>0</v>
      </c>
      <c r="AU32" s="2">
        <f t="shared" si="50"/>
        <v>0</v>
      </c>
      <c r="AV32" s="2">
        <f t="shared" si="85"/>
        <v>0</v>
      </c>
      <c r="AW32" s="2">
        <f t="shared" si="51"/>
        <v>0</v>
      </c>
      <c r="AX32" s="2">
        <f t="shared" si="86"/>
        <v>0</v>
      </c>
      <c r="AY32" s="2">
        <f t="shared" si="52"/>
        <v>0</v>
      </c>
      <c r="AZ32" s="2">
        <f t="shared" si="87"/>
        <v>0</v>
      </c>
      <c r="BA32" s="2">
        <f t="shared" si="53"/>
        <v>58.3</v>
      </c>
      <c r="BB32" s="2">
        <f t="shared" si="88"/>
        <v>1</v>
      </c>
      <c r="BC32" s="2">
        <f t="shared" si="54"/>
        <v>0</v>
      </c>
      <c r="BD32" s="2">
        <f t="shared" si="89"/>
        <v>0</v>
      </c>
      <c r="BE32" s="2">
        <f t="shared" si="55"/>
        <v>0</v>
      </c>
      <c r="BF32" s="2">
        <f t="shared" si="90"/>
        <v>0</v>
      </c>
      <c r="BG32" s="2">
        <f t="shared" si="56"/>
        <v>0</v>
      </c>
      <c r="BH32" s="2">
        <f t="shared" si="91"/>
        <v>0</v>
      </c>
      <c r="BI32" s="2">
        <f t="shared" si="57"/>
        <v>0</v>
      </c>
      <c r="BJ32" s="2">
        <f t="shared" si="92"/>
        <v>0</v>
      </c>
      <c r="BK32" s="2">
        <f t="shared" si="58"/>
        <v>0</v>
      </c>
      <c r="BL32" s="2">
        <f t="shared" si="93"/>
        <v>0</v>
      </c>
      <c r="BM32" s="2">
        <f t="shared" si="59"/>
        <v>0</v>
      </c>
      <c r="BN32" s="59">
        <f t="shared" si="94"/>
        <v>0</v>
      </c>
      <c r="BO32" s="59">
        <f t="shared" si="60"/>
        <v>0</v>
      </c>
      <c r="BP32" s="59">
        <f t="shared" si="95"/>
        <v>0</v>
      </c>
      <c r="BQ32" s="59">
        <f t="shared" si="61"/>
        <v>0</v>
      </c>
      <c r="BR32" s="59">
        <f t="shared" si="96"/>
        <v>0</v>
      </c>
      <c r="BS32" s="59">
        <f t="shared" si="62"/>
        <v>0</v>
      </c>
      <c r="BT32" s="59">
        <f t="shared" si="97"/>
        <v>0</v>
      </c>
      <c r="BU32" s="59">
        <f t="shared" si="63"/>
        <v>0</v>
      </c>
      <c r="BV32" s="59">
        <f t="shared" si="98"/>
        <v>0</v>
      </c>
      <c r="BW32" s="59">
        <f t="shared" si="64"/>
        <v>0</v>
      </c>
      <c r="BX32" s="59">
        <f t="shared" si="99"/>
        <v>0</v>
      </c>
      <c r="BY32" s="59">
        <f t="shared" si="65"/>
        <v>0</v>
      </c>
      <c r="BZ32" s="59">
        <f t="shared" si="100"/>
        <v>0</v>
      </c>
      <c r="CA32" s="59">
        <v>27</v>
      </c>
      <c r="CB32" s="60">
        <v>993136</v>
      </c>
      <c r="CC32" s="60">
        <f t="shared" si="72"/>
        <v>721</v>
      </c>
      <c r="CD32" s="61">
        <f t="shared" si="73"/>
        <v>7.2598314833013803E-4</v>
      </c>
      <c r="CE32" s="59">
        <v>53.2</v>
      </c>
      <c r="CF32" s="60">
        <v>996145</v>
      </c>
      <c r="CG32" s="60">
        <f t="shared" si="74"/>
        <v>405</v>
      </c>
      <c r="CH32" s="62">
        <f t="shared" si="75"/>
        <v>4.0656731700706224E-4</v>
      </c>
      <c r="CI32" s="59">
        <v>58.3</v>
      </c>
      <c r="CJ32" s="59">
        <v>27</v>
      </c>
      <c r="CK32" s="59">
        <v>32.770000000000003</v>
      </c>
      <c r="CL32" s="59">
        <v>40.56</v>
      </c>
      <c r="CM32" s="59"/>
      <c r="CN32" s="59"/>
      <c r="CO32" s="59"/>
      <c r="CP32" s="59"/>
      <c r="CQ32" s="59"/>
      <c r="CR32" s="59"/>
      <c r="CS32" s="59"/>
      <c r="CT32" s="59"/>
      <c r="CU32" s="59"/>
      <c r="CV32" s="59"/>
      <c r="CW32" s="59"/>
      <c r="CX32" s="59"/>
    </row>
    <row r="33" spans="1:102" s="46" customFormat="1" ht="12.75" customHeight="1" x14ac:dyDescent="0.3">
      <c r="A33" s="5"/>
      <c r="B33" s="33"/>
      <c r="C33" s="258"/>
      <c r="D33" s="258"/>
      <c r="E33" s="52"/>
      <c r="F33" s="259"/>
      <c r="G33" s="259"/>
      <c r="H33" s="52"/>
      <c r="I33" s="52"/>
      <c r="J33" s="9"/>
      <c r="K33" s="45" t="str">
        <f t="shared" ca="1" si="42"/>
        <v/>
      </c>
      <c r="L33" s="9"/>
      <c r="M33" s="45" t="str">
        <f t="shared" si="43"/>
        <v/>
      </c>
      <c r="N33" s="9"/>
      <c r="O33" s="45" t="str">
        <f t="shared" ca="1" si="44"/>
        <v/>
      </c>
      <c r="P33" s="2"/>
      <c r="Q33" s="170" t="str">
        <f ca="1">Q126</f>
        <v/>
      </c>
      <c r="R33" s="171" t="str">
        <f t="shared" ca="1" si="101"/>
        <v/>
      </c>
      <c r="S33" s="156"/>
      <c r="T33" s="170" t="str">
        <f>R126</f>
        <v/>
      </c>
      <c r="U33" s="171" t="str">
        <f>+S126</f>
        <v/>
      </c>
      <c r="V33" s="156"/>
      <c r="W33" s="170" t="str">
        <f ca="1">+T126</f>
        <v/>
      </c>
      <c r="X33" s="157"/>
      <c r="Y33" s="157"/>
      <c r="Z33" s="2" t="str">
        <f t="shared" si="66"/>
        <v/>
      </c>
      <c r="AA33" s="2">
        <f t="shared" si="67"/>
        <v>31.737166324435318</v>
      </c>
      <c r="AB33" s="2">
        <f t="shared" si="76"/>
        <v>31</v>
      </c>
      <c r="AC33" s="2">
        <f>IF(AA33="",0,IF(AA33&lt;=0,0,IF(Z33="Invalido",SUM(AW4:AW118),IF(AB33&lt;25,25-AA33,SUM(AW4:AW118)))))</f>
        <v>54.4</v>
      </c>
      <c r="AD33" s="2">
        <f t="shared" si="77"/>
        <v>324</v>
      </c>
      <c r="AE33" s="2">
        <f t="shared" ca="1" si="68"/>
        <v>38</v>
      </c>
      <c r="AF33" s="2">
        <f t="shared" ca="1" si="69"/>
        <v>286</v>
      </c>
      <c r="AG33" s="2">
        <f t="shared" ca="1" si="70"/>
        <v>2587015.2015373628</v>
      </c>
      <c r="AH33" s="2">
        <f t="shared" ca="1" si="71"/>
        <v>9583459.6910770368</v>
      </c>
      <c r="AI33" s="2">
        <f t="shared" ca="1" si="78"/>
        <v>0</v>
      </c>
      <c r="AJ33" s="2" t="e">
        <f t="shared" ca="1" si="79"/>
        <v>#REF!</v>
      </c>
      <c r="AK33" s="2">
        <f t="shared" si="45"/>
        <v>0</v>
      </c>
      <c r="AL33" s="2">
        <f t="shared" si="80"/>
        <v>0</v>
      </c>
      <c r="AM33" s="2">
        <f t="shared" si="46"/>
        <v>0</v>
      </c>
      <c r="AN33" s="2">
        <f t="shared" si="81"/>
        <v>0</v>
      </c>
      <c r="AO33" s="2">
        <f t="shared" si="47"/>
        <v>0</v>
      </c>
      <c r="AP33" s="2">
        <f t="shared" si="82"/>
        <v>0</v>
      </c>
      <c r="AQ33" s="2">
        <f t="shared" si="48"/>
        <v>0</v>
      </c>
      <c r="AR33" s="2">
        <f t="shared" si="83"/>
        <v>0</v>
      </c>
      <c r="AS33" s="2">
        <f t="shared" si="49"/>
        <v>0</v>
      </c>
      <c r="AT33" s="2">
        <f t="shared" si="84"/>
        <v>0</v>
      </c>
      <c r="AU33" s="2">
        <f t="shared" si="50"/>
        <v>0</v>
      </c>
      <c r="AV33" s="2">
        <f t="shared" si="85"/>
        <v>0</v>
      </c>
      <c r="AW33" s="2">
        <f t="shared" si="51"/>
        <v>0</v>
      </c>
      <c r="AX33" s="2">
        <f t="shared" si="86"/>
        <v>0</v>
      </c>
      <c r="AY33" s="2">
        <f t="shared" si="52"/>
        <v>0</v>
      </c>
      <c r="AZ33" s="2">
        <f t="shared" si="87"/>
        <v>0</v>
      </c>
      <c r="BA33" s="2">
        <f t="shared" si="53"/>
        <v>0</v>
      </c>
      <c r="BB33" s="2">
        <f t="shared" si="88"/>
        <v>0</v>
      </c>
      <c r="BC33" s="2">
        <f t="shared" si="54"/>
        <v>0</v>
      </c>
      <c r="BD33" s="2">
        <f t="shared" si="89"/>
        <v>0</v>
      </c>
      <c r="BE33" s="2">
        <f t="shared" si="55"/>
        <v>0</v>
      </c>
      <c r="BF33" s="2">
        <f t="shared" si="90"/>
        <v>0</v>
      </c>
      <c r="BG33" s="2">
        <f t="shared" si="56"/>
        <v>0</v>
      </c>
      <c r="BH33" s="2">
        <f t="shared" si="91"/>
        <v>0</v>
      </c>
      <c r="BI33" s="2">
        <f t="shared" si="57"/>
        <v>0</v>
      </c>
      <c r="BJ33" s="2">
        <f t="shared" si="92"/>
        <v>0</v>
      </c>
      <c r="BK33" s="2">
        <f t="shared" si="58"/>
        <v>0</v>
      </c>
      <c r="BL33" s="2">
        <f t="shared" si="93"/>
        <v>0</v>
      </c>
      <c r="BM33" s="2">
        <f t="shared" si="59"/>
        <v>0</v>
      </c>
      <c r="BN33" s="59">
        <f t="shared" si="94"/>
        <v>0</v>
      </c>
      <c r="BO33" s="59">
        <f t="shared" si="60"/>
        <v>0</v>
      </c>
      <c r="BP33" s="59">
        <f t="shared" si="95"/>
        <v>0</v>
      </c>
      <c r="BQ33" s="59">
        <f t="shared" si="61"/>
        <v>0</v>
      </c>
      <c r="BR33" s="59">
        <f t="shared" si="96"/>
        <v>0</v>
      </c>
      <c r="BS33" s="59">
        <f t="shared" si="62"/>
        <v>0</v>
      </c>
      <c r="BT33" s="59">
        <f t="shared" si="97"/>
        <v>0</v>
      </c>
      <c r="BU33" s="59">
        <f t="shared" si="63"/>
        <v>0</v>
      </c>
      <c r="BV33" s="59">
        <f t="shared" si="98"/>
        <v>0</v>
      </c>
      <c r="BW33" s="59">
        <f t="shared" si="64"/>
        <v>0</v>
      </c>
      <c r="BX33" s="59">
        <f t="shared" si="99"/>
        <v>0</v>
      </c>
      <c r="BY33" s="59">
        <f t="shared" si="65"/>
        <v>0</v>
      </c>
      <c r="BZ33" s="59">
        <f t="shared" si="100"/>
        <v>0</v>
      </c>
      <c r="CA33" s="59">
        <v>28</v>
      </c>
      <c r="CB33" s="60">
        <v>992415</v>
      </c>
      <c r="CC33" s="60">
        <f t="shared" si="72"/>
        <v>755</v>
      </c>
      <c r="CD33" s="61">
        <f t="shared" si="73"/>
        <v>7.6077044381634698E-4</v>
      </c>
      <c r="CE33" s="59">
        <v>52.3</v>
      </c>
      <c r="CF33" s="60">
        <v>995740</v>
      </c>
      <c r="CG33" s="60">
        <f t="shared" si="74"/>
        <v>425</v>
      </c>
      <c r="CH33" s="62">
        <f t="shared" si="75"/>
        <v>4.2681824572679615E-4</v>
      </c>
      <c r="CI33" s="59">
        <v>57.3</v>
      </c>
      <c r="CJ33" s="59">
        <v>28</v>
      </c>
      <c r="CK33" s="59">
        <v>32.299999999999997</v>
      </c>
      <c r="CL33" s="59">
        <v>39.950000000000003</v>
      </c>
      <c r="CM33" s="59"/>
      <c r="CN33" s="59"/>
      <c r="CO33" s="59"/>
      <c r="CP33" s="59"/>
      <c r="CQ33" s="59"/>
      <c r="CR33" s="59"/>
      <c r="CS33" s="59"/>
      <c r="CT33" s="59"/>
      <c r="CU33" s="59"/>
      <c r="CV33" s="59"/>
      <c r="CW33" s="59"/>
      <c r="CX33" s="59"/>
    </row>
    <row r="34" spans="1:102" s="46" customFormat="1" ht="12.75" customHeight="1" x14ac:dyDescent="0.3">
      <c r="A34" s="5"/>
      <c r="B34" s="33"/>
      <c r="C34" s="258"/>
      <c r="D34" s="258"/>
      <c r="E34" s="52"/>
      <c r="F34" s="259"/>
      <c r="G34" s="259"/>
      <c r="H34" s="52"/>
      <c r="I34" s="52"/>
      <c r="J34" s="9"/>
      <c r="K34" s="45" t="str">
        <f t="shared" ca="1" si="42"/>
        <v/>
      </c>
      <c r="L34" s="9"/>
      <c r="M34" s="45" t="str">
        <f t="shared" si="43"/>
        <v/>
      </c>
      <c r="N34" s="9"/>
      <c r="O34" s="45" t="str">
        <f t="shared" ca="1" si="44"/>
        <v/>
      </c>
      <c r="P34" s="2"/>
      <c r="Q34" s="170" t="str">
        <f ca="1">Q154</f>
        <v/>
      </c>
      <c r="R34" s="171" t="str">
        <f t="shared" ca="1" si="101"/>
        <v/>
      </c>
      <c r="S34" s="156"/>
      <c r="T34" s="170" t="str">
        <f>R154</f>
        <v/>
      </c>
      <c r="U34" s="171" t="str">
        <f>+S154</f>
        <v/>
      </c>
      <c r="V34" s="156"/>
      <c r="W34" s="170" t="str">
        <f ca="1">+T154</f>
        <v/>
      </c>
      <c r="X34" s="157"/>
      <c r="Y34" s="157"/>
      <c r="Z34" s="2" t="str">
        <f t="shared" si="66"/>
        <v/>
      </c>
      <c r="AA34" s="2">
        <f t="shared" si="67"/>
        <v>15.173169062286105</v>
      </c>
      <c r="AB34" s="2">
        <f t="shared" si="76"/>
        <v>15</v>
      </c>
      <c r="AC34" s="2">
        <f>IF(AA34="",0,IF(AA34&lt;=0,0,IF(Z34="Invalido",SUM(AU4:AU118),IF(AB34&lt;25,25-AA34,SUM(AU4:AU118)))))</f>
        <v>9.8268309377138952</v>
      </c>
      <c r="AD34" s="2">
        <f t="shared" si="77"/>
        <v>117</v>
      </c>
      <c r="AE34" s="2">
        <f t="shared" ca="1" si="68"/>
        <v>38</v>
      </c>
      <c r="AF34" s="2">
        <f t="shared" ca="1" si="69"/>
        <v>79</v>
      </c>
      <c r="AG34" s="2">
        <f t="shared" ca="1" si="70"/>
        <v>2587015.2015373628</v>
      </c>
      <c r="AH34" s="2">
        <f t="shared" ca="1" si="71"/>
        <v>4067555.225957274</v>
      </c>
      <c r="AI34" s="2">
        <f t="shared" ca="1" si="78"/>
        <v>0</v>
      </c>
      <c r="AJ34" s="2" t="e">
        <f t="shared" ca="1" si="79"/>
        <v>#REF!</v>
      </c>
      <c r="AK34" s="2">
        <f t="shared" si="45"/>
        <v>0</v>
      </c>
      <c r="AL34" s="2">
        <f t="shared" si="80"/>
        <v>0</v>
      </c>
      <c r="AM34" s="2">
        <f t="shared" si="46"/>
        <v>0</v>
      </c>
      <c r="AN34" s="2">
        <f t="shared" si="81"/>
        <v>0</v>
      </c>
      <c r="AO34" s="2">
        <f t="shared" si="47"/>
        <v>0</v>
      </c>
      <c r="AP34" s="2">
        <f t="shared" si="82"/>
        <v>0</v>
      </c>
      <c r="AQ34" s="2">
        <f t="shared" si="48"/>
        <v>0</v>
      </c>
      <c r="AR34" s="2">
        <f t="shared" si="83"/>
        <v>0</v>
      </c>
      <c r="AS34" s="2">
        <f t="shared" si="49"/>
        <v>0</v>
      </c>
      <c r="AT34" s="2">
        <f t="shared" si="84"/>
        <v>0</v>
      </c>
      <c r="AU34" s="2">
        <f t="shared" si="50"/>
        <v>0</v>
      </c>
      <c r="AV34" s="2">
        <f t="shared" si="85"/>
        <v>0</v>
      </c>
      <c r="AW34" s="2">
        <f t="shared" si="51"/>
        <v>0</v>
      </c>
      <c r="AX34" s="2">
        <f t="shared" si="86"/>
        <v>0</v>
      </c>
      <c r="AY34" s="2">
        <f t="shared" si="52"/>
        <v>0</v>
      </c>
      <c r="AZ34" s="2">
        <f t="shared" si="87"/>
        <v>0</v>
      </c>
      <c r="BA34" s="2">
        <f t="shared" si="53"/>
        <v>0</v>
      </c>
      <c r="BB34" s="2">
        <f t="shared" si="88"/>
        <v>0</v>
      </c>
      <c r="BC34" s="2">
        <f t="shared" si="54"/>
        <v>0</v>
      </c>
      <c r="BD34" s="2">
        <f t="shared" si="89"/>
        <v>0</v>
      </c>
      <c r="BE34" s="2">
        <f t="shared" si="55"/>
        <v>0</v>
      </c>
      <c r="BF34" s="2">
        <f t="shared" si="90"/>
        <v>0</v>
      </c>
      <c r="BG34" s="2">
        <f t="shared" si="56"/>
        <v>0</v>
      </c>
      <c r="BH34" s="2">
        <f t="shared" si="91"/>
        <v>0</v>
      </c>
      <c r="BI34" s="2">
        <f t="shared" si="57"/>
        <v>0</v>
      </c>
      <c r="BJ34" s="2">
        <f t="shared" si="92"/>
        <v>0</v>
      </c>
      <c r="BK34" s="2">
        <f t="shared" si="58"/>
        <v>0</v>
      </c>
      <c r="BL34" s="2">
        <f t="shared" si="93"/>
        <v>0</v>
      </c>
      <c r="BM34" s="2">
        <f t="shared" si="59"/>
        <v>0</v>
      </c>
      <c r="BN34" s="59">
        <f t="shared" si="94"/>
        <v>0</v>
      </c>
      <c r="BO34" s="59">
        <f t="shared" si="60"/>
        <v>0</v>
      </c>
      <c r="BP34" s="59">
        <f t="shared" si="95"/>
        <v>0</v>
      </c>
      <c r="BQ34" s="59">
        <f t="shared" si="61"/>
        <v>0</v>
      </c>
      <c r="BR34" s="59">
        <f t="shared" si="96"/>
        <v>0</v>
      </c>
      <c r="BS34" s="59">
        <f t="shared" si="62"/>
        <v>0</v>
      </c>
      <c r="BT34" s="59">
        <f t="shared" si="97"/>
        <v>0</v>
      </c>
      <c r="BU34" s="59">
        <f t="shared" si="63"/>
        <v>0</v>
      </c>
      <c r="BV34" s="59">
        <f t="shared" si="98"/>
        <v>0</v>
      </c>
      <c r="BW34" s="59">
        <f t="shared" si="64"/>
        <v>0</v>
      </c>
      <c r="BX34" s="59">
        <f t="shared" si="99"/>
        <v>0</v>
      </c>
      <c r="BY34" s="59">
        <f t="shared" si="65"/>
        <v>0</v>
      </c>
      <c r="BZ34" s="59">
        <f t="shared" si="100"/>
        <v>0</v>
      </c>
      <c r="CA34" s="59">
        <v>29</v>
      </c>
      <c r="CB34" s="60">
        <v>991660</v>
      </c>
      <c r="CC34" s="60">
        <f t="shared" si="72"/>
        <v>792</v>
      </c>
      <c r="CD34" s="61">
        <f t="shared" si="73"/>
        <v>7.9866083133331987E-4</v>
      </c>
      <c r="CE34" s="59">
        <v>51.3</v>
      </c>
      <c r="CF34" s="60">
        <v>995315</v>
      </c>
      <c r="CG34" s="60">
        <f t="shared" si="74"/>
        <v>446</v>
      </c>
      <c r="CH34" s="62">
        <f t="shared" si="75"/>
        <v>4.4809934543335529E-4</v>
      </c>
      <c r="CI34" s="59">
        <v>56.3</v>
      </c>
      <c r="CJ34" s="59">
        <v>29</v>
      </c>
      <c r="CK34" s="59">
        <v>31.82</v>
      </c>
      <c r="CL34" s="59">
        <v>39.35</v>
      </c>
      <c r="CM34" s="59"/>
      <c r="CN34" s="59"/>
      <c r="CO34" s="59"/>
      <c r="CP34" s="59"/>
      <c r="CQ34" s="59"/>
      <c r="CR34" s="59"/>
      <c r="CS34" s="59"/>
      <c r="CT34" s="59"/>
      <c r="CU34" s="59"/>
      <c r="CV34" s="59"/>
      <c r="CW34" s="59"/>
      <c r="CX34" s="59"/>
    </row>
    <row r="35" spans="1:102" s="46" customFormat="1" ht="12.75" customHeight="1" x14ac:dyDescent="0.3">
      <c r="A35" s="5"/>
      <c r="B35" s="33"/>
      <c r="C35" s="258"/>
      <c r="D35" s="258"/>
      <c r="E35" s="52"/>
      <c r="F35" s="259"/>
      <c r="G35" s="259"/>
      <c r="H35" s="52"/>
      <c r="I35" s="52"/>
      <c r="J35" s="9"/>
      <c r="K35" s="45" t="str">
        <f t="shared" ca="1" si="42"/>
        <v/>
      </c>
      <c r="L35" s="9"/>
      <c r="M35" s="45" t="str">
        <f t="shared" si="43"/>
        <v/>
      </c>
      <c r="N35" s="9"/>
      <c r="O35" s="45" t="str">
        <f t="shared" ca="1" si="44"/>
        <v/>
      </c>
      <c r="P35" s="2"/>
      <c r="Q35" s="170" t="str">
        <f ca="1">Q155</f>
        <v/>
      </c>
      <c r="R35" s="171" t="str">
        <f t="shared" ca="1" si="101"/>
        <v/>
      </c>
      <c r="S35" s="156"/>
      <c r="T35" s="170" t="str">
        <f>R155</f>
        <v/>
      </c>
      <c r="U35" s="171" t="str">
        <f>+S155</f>
        <v/>
      </c>
      <c r="V35" s="156"/>
      <c r="W35" s="170" t="str">
        <f ca="1">+T155</f>
        <v/>
      </c>
      <c r="X35" s="157"/>
      <c r="Y35" s="157"/>
      <c r="Z35" s="2" t="str">
        <f t="shared" si="66"/>
        <v/>
      </c>
      <c r="AA35" s="2" t="str">
        <f t="shared" si="67"/>
        <v/>
      </c>
      <c r="AB35" s="2" t="str">
        <f t="shared" si="76"/>
        <v/>
      </c>
      <c r="AC35" s="2">
        <f>IF(AA35="",0,IF(AA35&lt;=0,0,IF(Z35="Invalido",SUM(AS4:AS118),IF(AB35&lt;25,25-AA35,SUM(AS4:AS118)))))</f>
        <v>0</v>
      </c>
      <c r="AD35" s="2">
        <f t="shared" si="77"/>
        <v>0</v>
      </c>
      <c r="AE35" s="2">
        <f t="shared" ca="1" si="68"/>
        <v>0</v>
      </c>
      <c r="AF35" s="2">
        <f t="shared" ca="1" si="69"/>
        <v>0</v>
      </c>
      <c r="AG35" s="2">
        <f t="shared" ca="1" si="70"/>
        <v>0</v>
      </c>
      <c r="AH35" s="2">
        <f t="shared" ca="1" si="71"/>
        <v>0</v>
      </c>
      <c r="AI35" s="2">
        <f t="shared" ca="1" si="78"/>
        <v>0</v>
      </c>
      <c r="AJ35" s="2" t="e">
        <f t="shared" ca="1" si="79"/>
        <v>#REF!</v>
      </c>
      <c r="AK35" s="2">
        <f t="shared" si="45"/>
        <v>0</v>
      </c>
      <c r="AL35" s="2">
        <f t="shared" si="80"/>
        <v>0</v>
      </c>
      <c r="AM35" s="2">
        <f t="shared" si="46"/>
        <v>0</v>
      </c>
      <c r="AN35" s="2">
        <f t="shared" si="81"/>
        <v>0</v>
      </c>
      <c r="AO35" s="2">
        <f t="shared" si="47"/>
        <v>0</v>
      </c>
      <c r="AP35" s="2">
        <f t="shared" si="82"/>
        <v>0</v>
      </c>
      <c r="AQ35" s="2">
        <f t="shared" si="48"/>
        <v>0</v>
      </c>
      <c r="AR35" s="2">
        <f t="shared" si="83"/>
        <v>0</v>
      </c>
      <c r="AS35" s="2">
        <f t="shared" si="49"/>
        <v>0</v>
      </c>
      <c r="AT35" s="2">
        <f t="shared" si="84"/>
        <v>0</v>
      </c>
      <c r="AU35" s="2">
        <f t="shared" si="50"/>
        <v>0</v>
      </c>
      <c r="AV35" s="2">
        <f t="shared" si="85"/>
        <v>0</v>
      </c>
      <c r="AW35" s="2">
        <f t="shared" si="51"/>
        <v>0</v>
      </c>
      <c r="AX35" s="2">
        <f t="shared" si="86"/>
        <v>0</v>
      </c>
      <c r="AY35" s="2">
        <f t="shared" si="52"/>
        <v>0</v>
      </c>
      <c r="AZ35" s="2">
        <f t="shared" si="87"/>
        <v>0</v>
      </c>
      <c r="BA35" s="2">
        <f t="shared" si="53"/>
        <v>0</v>
      </c>
      <c r="BB35" s="2">
        <f t="shared" si="88"/>
        <v>0</v>
      </c>
      <c r="BC35" s="2">
        <f t="shared" si="54"/>
        <v>0</v>
      </c>
      <c r="BD35" s="2">
        <f t="shared" si="89"/>
        <v>0</v>
      </c>
      <c r="BE35" s="2">
        <f t="shared" si="55"/>
        <v>0</v>
      </c>
      <c r="BF35" s="2">
        <f t="shared" si="90"/>
        <v>0</v>
      </c>
      <c r="BG35" s="2">
        <f t="shared" si="56"/>
        <v>0</v>
      </c>
      <c r="BH35" s="2">
        <f t="shared" si="91"/>
        <v>0</v>
      </c>
      <c r="BI35" s="2">
        <f t="shared" si="57"/>
        <v>0</v>
      </c>
      <c r="BJ35" s="2">
        <f t="shared" si="92"/>
        <v>0</v>
      </c>
      <c r="BK35" s="2">
        <f t="shared" si="58"/>
        <v>0</v>
      </c>
      <c r="BL35" s="2">
        <f t="shared" si="93"/>
        <v>0</v>
      </c>
      <c r="BM35" s="2">
        <f t="shared" si="59"/>
        <v>0</v>
      </c>
      <c r="BN35" s="59">
        <f t="shared" si="94"/>
        <v>0</v>
      </c>
      <c r="BO35" s="59">
        <f t="shared" si="60"/>
        <v>0</v>
      </c>
      <c r="BP35" s="59">
        <f t="shared" si="95"/>
        <v>0</v>
      </c>
      <c r="BQ35" s="59">
        <f t="shared" si="61"/>
        <v>0</v>
      </c>
      <c r="BR35" s="59">
        <f t="shared" si="96"/>
        <v>0</v>
      </c>
      <c r="BS35" s="59">
        <f t="shared" si="62"/>
        <v>0</v>
      </c>
      <c r="BT35" s="59">
        <f t="shared" si="97"/>
        <v>0</v>
      </c>
      <c r="BU35" s="59">
        <f t="shared" si="63"/>
        <v>0</v>
      </c>
      <c r="BV35" s="59">
        <f t="shared" si="98"/>
        <v>0</v>
      </c>
      <c r="BW35" s="59">
        <f t="shared" si="64"/>
        <v>0</v>
      </c>
      <c r="BX35" s="59">
        <f t="shared" si="99"/>
        <v>0</v>
      </c>
      <c r="BY35" s="59">
        <f t="shared" si="65"/>
        <v>0</v>
      </c>
      <c r="BZ35" s="59">
        <f t="shared" si="100"/>
        <v>0</v>
      </c>
      <c r="CA35" s="59">
        <v>30</v>
      </c>
      <c r="CB35" s="60">
        <v>990868</v>
      </c>
      <c r="CC35" s="60">
        <f t="shared" si="72"/>
        <v>832</v>
      </c>
      <c r="CD35" s="61">
        <f t="shared" si="73"/>
        <v>8.3966784677676546E-4</v>
      </c>
      <c r="CE35" s="59">
        <v>50.3</v>
      </c>
      <c r="CF35" s="60">
        <v>994869</v>
      </c>
      <c r="CG35" s="60">
        <f t="shared" si="74"/>
        <v>469</v>
      </c>
      <c r="CH35" s="62">
        <f t="shared" si="75"/>
        <v>4.7141885011996556E-4</v>
      </c>
      <c r="CI35" s="59">
        <v>55.4</v>
      </c>
      <c r="CJ35" s="59">
        <v>30</v>
      </c>
      <c r="CK35" s="59">
        <v>31.35</v>
      </c>
      <c r="CL35" s="59">
        <v>38.74</v>
      </c>
      <c r="CM35" s="59"/>
      <c r="CN35" s="59"/>
      <c r="CO35" s="59"/>
      <c r="CP35" s="59"/>
      <c r="CQ35" s="59"/>
      <c r="CR35" s="59"/>
      <c r="CS35" s="59"/>
      <c r="CT35" s="59"/>
      <c r="CU35" s="59"/>
      <c r="CV35" s="59"/>
      <c r="CW35" s="59"/>
      <c r="CX35" s="59"/>
    </row>
    <row r="36" spans="1:102" s="46" customFormat="1" ht="12.75" customHeight="1" x14ac:dyDescent="0.3">
      <c r="A36" s="5"/>
      <c r="B36" s="33"/>
      <c r="C36" s="258"/>
      <c r="D36" s="258"/>
      <c r="E36" s="52"/>
      <c r="F36" s="259"/>
      <c r="G36" s="259"/>
      <c r="H36" s="52"/>
      <c r="I36" s="52"/>
      <c r="J36" s="9"/>
      <c r="K36" s="45" t="str">
        <f t="shared" ca="1" si="42"/>
        <v/>
      </c>
      <c r="L36" s="9"/>
      <c r="M36" s="45" t="str">
        <f t="shared" si="43"/>
        <v/>
      </c>
      <c r="N36" s="9"/>
      <c r="O36" s="45" t="str">
        <f t="shared" ca="1" si="44"/>
        <v/>
      </c>
      <c r="P36" s="2"/>
      <c r="Q36" s="170" t="str">
        <f ca="1">Q156</f>
        <v/>
      </c>
      <c r="R36" s="171" t="str">
        <f t="shared" ca="1" si="101"/>
        <v/>
      </c>
      <c r="S36" s="156"/>
      <c r="T36" s="170" t="str">
        <f>R156</f>
        <v/>
      </c>
      <c r="U36" s="171" t="str">
        <f>+S156</f>
        <v/>
      </c>
      <c r="V36" s="156"/>
      <c r="W36" s="170" t="str">
        <f ca="1">+T156</f>
        <v/>
      </c>
      <c r="X36" s="157"/>
      <c r="Y36" s="157"/>
      <c r="Z36" s="2" t="str">
        <f t="shared" si="66"/>
        <v/>
      </c>
      <c r="AA36" s="2" t="str">
        <f t="shared" si="67"/>
        <v/>
      </c>
      <c r="AB36" s="2" t="str">
        <f t="shared" si="76"/>
        <v/>
      </c>
      <c r="AC36" s="2">
        <f>IF(AA36="",0,IF(AA36&lt;=0,0,IF(Z36="Invalido",SUM(AQ4:AQ118),IF(AB36&lt;25,25-AA36,SUM(AQ4:AQ118)))))</f>
        <v>0</v>
      </c>
      <c r="AD36" s="2">
        <f t="shared" si="77"/>
        <v>0</v>
      </c>
      <c r="AE36" s="2">
        <f t="shared" ca="1" si="68"/>
        <v>0</v>
      </c>
      <c r="AF36" s="2">
        <f t="shared" ca="1" si="69"/>
        <v>0</v>
      </c>
      <c r="AG36" s="2">
        <f t="shared" ca="1" si="70"/>
        <v>0</v>
      </c>
      <c r="AH36" s="2">
        <f t="shared" ca="1" si="71"/>
        <v>0</v>
      </c>
      <c r="AI36" s="2">
        <f t="shared" ca="1" si="78"/>
        <v>0</v>
      </c>
      <c r="AJ36" s="2" t="e">
        <f t="shared" ca="1" si="79"/>
        <v>#REF!</v>
      </c>
      <c r="AK36" s="2">
        <f t="shared" si="45"/>
        <v>0</v>
      </c>
      <c r="AL36" s="2">
        <f t="shared" si="80"/>
        <v>0</v>
      </c>
      <c r="AM36" s="2">
        <f t="shared" si="46"/>
        <v>0</v>
      </c>
      <c r="AN36" s="2">
        <f t="shared" si="81"/>
        <v>0</v>
      </c>
      <c r="AO36" s="2">
        <f t="shared" si="47"/>
        <v>0</v>
      </c>
      <c r="AP36" s="2">
        <f t="shared" si="82"/>
        <v>0</v>
      </c>
      <c r="AQ36" s="2">
        <f t="shared" si="48"/>
        <v>0</v>
      </c>
      <c r="AR36" s="2">
        <f t="shared" si="83"/>
        <v>0</v>
      </c>
      <c r="AS36" s="2">
        <f t="shared" si="49"/>
        <v>0</v>
      </c>
      <c r="AT36" s="2">
        <f t="shared" si="84"/>
        <v>0</v>
      </c>
      <c r="AU36" s="2">
        <f t="shared" si="50"/>
        <v>0</v>
      </c>
      <c r="AV36" s="2">
        <f t="shared" si="85"/>
        <v>0</v>
      </c>
      <c r="AW36" s="2">
        <f t="shared" si="51"/>
        <v>54.4</v>
      </c>
      <c r="AX36" s="2">
        <f t="shared" si="86"/>
        <v>1</v>
      </c>
      <c r="AY36" s="2">
        <f t="shared" si="52"/>
        <v>54.4</v>
      </c>
      <c r="AZ36" s="2">
        <f t="shared" si="87"/>
        <v>1</v>
      </c>
      <c r="BA36" s="2">
        <f t="shared" si="53"/>
        <v>0</v>
      </c>
      <c r="BB36" s="2">
        <f t="shared" si="88"/>
        <v>0</v>
      </c>
      <c r="BC36" s="2">
        <f t="shared" si="54"/>
        <v>0</v>
      </c>
      <c r="BD36" s="2">
        <f t="shared" si="89"/>
        <v>0</v>
      </c>
      <c r="BE36" s="2">
        <f t="shared" si="55"/>
        <v>0</v>
      </c>
      <c r="BF36" s="2">
        <f t="shared" si="90"/>
        <v>0</v>
      </c>
      <c r="BG36" s="2">
        <f t="shared" si="56"/>
        <v>0</v>
      </c>
      <c r="BH36" s="2">
        <f t="shared" si="91"/>
        <v>0</v>
      </c>
      <c r="BI36" s="2">
        <f t="shared" si="57"/>
        <v>0</v>
      </c>
      <c r="BJ36" s="2">
        <f t="shared" si="92"/>
        <v>0</v>
      </c>
      <c r="BK36" s="2">
        <f t="shared" si="58"/>
        <v>0</v>
      </c>
      <c r="BL36" s="2">
        <f t="shared" si="93"/>
        <v>0</v>
      </c>
      <c r="BM36" s="2">
        <f t="shared" si="59"/>
        <v>0</v>
      </c>
      <c r="BN36" s="59">
        <f t="shared" si="94"/>
        <v>0</v>
      </c>
      <c r="BO36" s="59">
        <f t="shared" si="60"/>
        <v>0</v>
      </c>
      <c r="BP36" s="59">
        <f t="shared" si="95"/>
        <v>0</v>
      </c>
      <c r="BQ36" s="59">
        <f t="shared" si="61"/>
        <v>0</v>
      </c>
      <c r="BR36" s="59">
        <f t="shared" si="96"/>
        <v>0</v>
      </c>
      <c r="BS36" s="59">
        <f t="shared" si="62"/>
        <v>0</v>
      </c>
      <c r="BT36" s="59">
        <f t="shared" si="97"/>
        <v>0</v>
      </c>
      <c r="BU36" s="59">
        <f t="shared" si="63"/>
        <v>0</v>
      </c>
      <c r="BV36" s="59">
        <f t="shared" si="98"/>
        <v>0</v>
      </c>
      <c r="BW36" s="59">
        <f t="shared" si="64"/>
        <v>0</v>
      </c>
      <c r="BX36" s="59">
        <f t="shared" si="99"/>
        <v>0</v>
      </c>
      <c r="BY36" s="59">
        <f t="shared" si="65"/>
        <v>0</v>
      </c>
      <c r="BZ36" s="59">
        <f t="shared" si="100"/>
        <v>0</v>
      </c>
      <c r="CA36" s="59">
        <v>31</v>
      </c>
      <c r="CB36" s="60">
        <v>990036</v>
      </c>
      <c r="CC36" s="60">
        <f t="shared" si="72"/>
        <v>877</v>
      </c>
      <c r="CD36" s="61">
        <f t="shared" si="73"/>
        <v>8.8582637399044076E-4</v>
      </c>
      <c r="CE36" s="59">
        <v>49.4</v>
      </c>
      <c r="CF36" s="60">
        <v>994400</v>
      </c>
      <c r="CG36" s="60">
        <f t="shared" si="74"/>
        <v>494</v>
      </c>
      <c r="CH36" s="62">
        <f t="shared" si="75"/>
        <v>4.96781979082864E-4</v>
      </c>
      <c r="CI36" s="59">
        <v>54.4</v>
      </c>
      <c r="CJ36" s="59">
        <v>31</v>
      </c>
      <c r="CK36" s="59">
        <v>30.86</v>
      </c>
      <c r="CL36" s="59">
        <v>38.119999999999997</v>
      </c>
      <c r="CM36" s="59"/>
      <c r="CN36" s="59"/>
      <c r="CO36" s="59"/>
      <c r="CP36" s="59"/>
      <c r="CQ36" s="59"/>
      <c r="CR36" s="59"/>
      <c r="CS36" s="59"/>
      <c r="CT36" s="59"/>
      <c r="CU36" s="59"/>
      <c r="CV36" s="59"/>
      <c r="CW36" s="59"/>
      <c r="CX36" s="59"/>
    </row>
    <row r="37" spans="1:102" s="46" customFormat="1" ht="12.75" customHeight="1" x14ac:dyDescent="0.3">
      <c r="A37" s="5"/>
      <c r="B37" s="33"/>
      <c r="C37" s="258"/>
      <c r="D37" s="258"/>
      <c r="E37" s="52"/>
      <c r="F37" s="259"/>
      <c r="G37" s="259"/>
      <c r="H37" s="52"/>
      <c r="I37" s="52"/>
      <c r="J37" s="9"/>
      <c r="K37" s="45" t="str">
        <f t="shared" ca="1" si="42"/>
        <v/>
      </c>
      <c r="L37" s="9"/>
      <c r="M37" s="45" t="str">
        <f t="shared" si="43"/>
        <v/>
      </c>
      <c r="N37" s="9"/>
      <c r="O37" s="45" t="str">
        <f t="shared" ca="1" si="44"/>
        <v/>
      </c>
      <c r="P37" s="2"/>
      <c r="Q37" s="170" t="str">
        <f ca="1">Q157</f>
        <v/>
      </c>
      <c r="R37" s="171" t="str">
        <f t="shared" ca="1" si="101"/>
        <v/>
      </c>
      <c r="S37" s="156"/>
      <c r="T37" s="170" t="str">
        <f>R157</f>
        <v/>
      </c>
      <c r="U37" s="171" t="str">
        <f>+S157</f>
        <v/>
      </c>
      <c r="V37" s="156"/>
      <c r="W37" s="170" t="str">
        <f ca="1">+T157</f>
        <v/>
      </c>
      <c r="X37" s="157"/>
      <c r="Y37" s="157"/>
      <c r="Z37" s="2" t="str">
        <f t="shared" si="66"/>
        <v/>
      </c>
      <c r="AA37" s="2" t="str">
        <f t="shared" si="67"/>
        <v/>
      </c>
      <c r="AB37" s="2" t="str">
        <f t="shared" si="76"/>
        <v/>
      </c>
      <c r="AC37" s="2">
        <f>IF(AA37="",0,IF(AA37&lt;=0,0,IF(Z37="Invalido",SUM(AO4:AO118),IF(AB37&lt;25,25-AA37,SUM(AO4:AO118)))))</f>
        <v>0</v>
      </c>
      <c r="AD37" s="2">
        <f t="shared" si="77"/>
        <v>0</v>
      </c>
      <c r="AE37" s="2">
        <f t="shared" ca="1" si="68"/>
        <v>0</v>
      </c>
      <c r="AF37" s="2">
        <f t="shared" ca="1" si="69"/>
        <v>0</v>
      </c>
      <c r="AG37" s="2">
        <f t="shared" ca="1" si="70"/>
        <v>0</v>
      </c>
      <c r="AH37" s="2">
        <f t="shared" ca="1" si="71"/>
        <v>0</v>
      </c>
      <c r="AI37" s="2">
        <f t="shared" ca="1" si="78"/>
        <v>0</v>
      </c>
      <c r="AJ37" s="2" t="e">
        <f t="shared" ca="1" si="79"/>
        <v>#REF!</v>
      </c>
      <c r="AK37" s="2">
        <f t="shared" si="45"/>
        <v>0</v>
      </c>
      <c r="AL37" s="2">
        <f t="shared" si="80"/>
        <v>0</v>
      </c>
      <c r="AM37" s="2">
        <f t="shared" si="46"/>
        <v>0</v>
      </c>
      <c r="AN37" s="2">
        <f t="shared" si="81"/>
        <v>0</v>
      </c>
      <c r="AO37" s="2">
        <f t="shared" si="47"/>
        <v>0</v>
      </c>
      <c r="AP37" s="2">
        <f t="shared" si="82"/>
        <v>0</v>
      </c>
      <c r="AQ37" s="2">
        <f t="shared" si="48"/>
        <v>0</v>
      </c>
      <c r="AR37" s="2">
        <f t="shared" si="83"/>
        <v>0</v>
      </c>
      <c r="AS37" s="2">
        <f t="shared" si="49"/>
        <v>0</v>
      </c>
      <c r="AT37" s="2">
        <f t="shared" si="84"/>
        <v>0</v>
      </c>
      <c r="AU37" s="2">
        <f t="shared" si="50"/>
        <v>0</v>
      </c>
      <c r="AV37" s="2">
        <f t="shared" si="85"/>
        <v>0</v>
      </c>
      <c r="AW37" s="2">
        <f t="shared" si="51"/>
        <v>0</v>
      </c>
      <c r="AX37" s="2">
        <f t="shared" si="86"/>
        <v>0</v>
      </c>
      <c r="AY37" s="2">
        <f t="shared" si="52"/>
        <v>0</v>
      </c>
      <c r="AZ37" s="2">
        <f t="shared" si="87"/>
        <v>0</v>
      </c>
      <c r="BA37" s="2">
        <f t="shared" si="53"/>
        <v>0</v>
      </c>
      <c r="BB37" s="2">
        <f t="shared" si="88"/>
        <v>0</v>
      </c>
      <c r="BC37" s="2">
        <f t="shared" si="54"/>
        <v>0</v>
      </c>
      <c r="BD37" s="2">
        <f t="shared" si="89"/>
        <v>0</v>
      </c>
      <c r="BE37" s="2">
        <f t="shared" si="55"/>
        <v>0</v>
      </c>
      <c r="BF37" s="2">
        <f t="shared" si="90"/>
        <v>0</v>
      </c>
      <c r="BG37" s="2">
        <f t="shared" si="56"/>
        <v>0</v>
      </c>
      <c r="BH37" s="2">
        <f t="shared" si="91"/>
        <v>0</v>
      </c>
      <c r="BI37" s="2">
        <f t="shared" si="57"/>
        <v>0</v>
      </c>
      <c r="BJ37" s="2">
        <f t="shared" si="92"/>
        <v>0</v>
      </c>
      <c r="BK37" s="2">
        <f t="shared" si="58"/>
        <v>0</v>
      </c>
      <c r="BL37" s="2">
        <f t="shared" si="93"/>
        <v>0</v>
      </c>
      <c r="BM37" s="2">
        <f t="shared" si="59"/>
        <v>0</v>
      </c>
      <c r="BN37" s="59">
        <f t="shared" si="94"/>
        <v>0</v>
      </c>
      <c r="BO37" s="59">
        <f t="shared" si="60"/>
        <v>0</v>
      </c>
      <c r="BP37" s="59">
        <f t="shared" si="95"/>
        <v>0</v>
      </c>
      <c r="BQ37" s="59">
        <f t="shared" si="61"/>
        <v>0</v>
      </c>
      <c r="BR37" s="59">
        <f t="shared" si="96"/>
        <v>0</v>
      </c>
      <c r="BS37" s="59">
        <f t="shared" si="62"/>
        <v>0</v>
      </c>
      <c r="BT37" s="59">
        <f t="shared" si="97"/>
        <v>0</v>
      </c>
      <c r="BU37" s="59">
        <f t="shared" si="63"/>
        <v>0</v>
      </c>
      <c r="BV37" s="59">
        <f t="shared" si="98"/>
        <v>0</v>
      </c>
      <c r="BW37" s="59">
        <f t="shared" si="64"/>
        <v>0</v>
      </c>
      <c r="BX37" s="59">
        <f t="shared" si="99"/>
        <v>0</v>
      </c>
      <c r="BY37" s="59">
        <f t="shared" si="65"/>
        <v>0</v>
      </c>
      <c r="BZ37" s="59">
        <f t="shared" si="100"/>
        <v>0</v>
      </c>
      <c r="CA37" s="59">
        <v>32</v>
      </c>
      <c r="CB37" s="60">
        <v>989159</v>
      </c>
      <c r="CC37" s="60">
        <f t="shared" si="72"/>
        <v>926</v>
      </c>
      <c r="CD37" s="61">
        <f t="shared" si="73"/>
        <v>9.3614878902178512E-4</v>
      </c>
      <c r="CE37" s="59">
        <v>48.4</v>
      </c>
      <c r="CF37" s="60">
        <v>993906</v>
      </c>
      <c r="CG37" s="60">
        <f t="shared" si="74"/>
        <v>522</v>
      </c>
      <c r="CH37" s="62">
        <f t="shared" si="75"/>
        <v>5.2520057228752019E-4</v>
      </c>
      <c r="CI37" s="59">
        <v>53.4</v>
      </c>
      <c r="CJ37" s="59">
        <v>32</v>
      </c>
      <c r="CK37" s="59">
        <v>30.38</v>
      </c>
      <c r="CL37" s="59">
        <v>37.51</v>
      </c>
      <c r="CM37" s="59"/>
      <c r="CN37" s="59"/>
      <c r="CO37" s="59"/>
      <c r="CP37" s="59"/>
      <c r="CQ37" s="59"/>
      <c r="CR37" s="59"/>
      <c r="CS37" s="59"/>
      <c r="CT37" s="59"/>
      <c r="CU37" s="59"/>
      <c r="CV37" s="59"/>
      <c r="CW37" s="59"/>
      <c r="CX37" s="59"/>
    </row>
    <row r="38" spans="1:102" s="46" customFormat="1" ht="12.75" customHeight="1" x14ac:dyDescent="0.3">
      <c r="A38" s="5"/>
      <c r="B38" s="33"/>
      <c r="C38" s="258"/>
      <c r="D38" s="258"/>
      <c r="E38" s="52"/>
      <c r="F38" s="259"/>
      <c r="G38" s="259"/>
      <c r="H38" s="52"/>
      <c r="I38" s="52"/>
      <c r="J38" s="9"/>
      <c r="K38" s="45" t="str">
        <f t="shared" ca="1" si="42"/>
        <v/>
      </c>
      <c r="L38" s="9"/>
      <c r="M38" s="45" t="str">
        <f t="shared" si="43"/>
        <v/>
      </c>
      <c r="N38" s="9"/>
      <c r="O38" s="45" t="str">
        <f t="shared" ca="1" si="44"/>
        <v/>
      </c>
      <c r="P38" s="2"/>
      <c r="Q38" s="170"/>
      <c r="R38" s="171"/>
      <c r="S38" s="156"/>
      <c r="T38" s="170"/>
      <c r="U38" s="171"/>
      <c r="V38" s="156"/>
      <c r="W38" s="170"/>
      <c r="X38" s="157"/>
      <c r="Y38" s="157"/>
      <c r="Z38" s="2" t="str">
        <f t="shared" si="66"/>
        <v/>
      </c>
      <c r="AA38" s="2" t="str">
        <f t="shared" si="67"/>
        <v/>
      </c>
      <c r="AB38" s="2" t="str">
        <f t="shared" si="76"/>
        <v/>
      </c>
      <c r="AC38" s="2">
        <f>IF(AA38="",0,IF(AA38&lt;=0,0,IF(Z38="Invalido",SUM(AM4:AM118),IF(AB38&lt;25,25-AA38,SUM(AM4:AM118)))))</f>
        <v>0</v>
      </c>
      <c r="AD38" s="2">
        <f t="shared" si="77"/>
        <v>0</v>
      </c>
      <c r="AE38" s="2">
        <f t="shared" ca="1" si="68"/>
        <v>0</v>
      </c>
      <c r="AF38" s="2">
        <f t="shared" ca="1" si="69"/>
        <v>0</v>
      </c>
      <c r="AG38" s="2">
        <f t="shared" ca="1" si="70"/>
        <v>0</v>
      </c>
      <c r="AH38" s="2">
        <f t="shared" ca="1" si="71"/>
        <v>0</v>
      </c>
      <c r="AI38" s="2">
        <f t="shared" ca="1" si="78"/>
        <v>0</v>
      </c>
      <c r="AJ38" s="2" t="e">
        <f t="shared" ca="1" si="79"/>
        <v>#REF!</v>
      </c>
      <c r="AK38" s="2">
        <f t="shared" si="45"/>
        <v>0</v>
      </c>
      <c r="AL38" s="2">
        <f t="shared" si="80"/>
        <v>0</v>
      </c>
      <c r="AM38" s="2">
        <f t="shared" si="46"/>
        <v>0</v>
      </c>
      <c r="AN38" s="2">
        <f t="shared" si="81"/>
        <v>0</v>
      </c>
      <c r="AO38" s="2">
        <f t="shared" si="47"/>
        <v>0</v>
      </c>
      <c r="AP38" s="2">
        <f t="shared" si="82"/>
        <v>0</v>
      </c>
      <c r="AQ38" s="2">
        <f t="shared" si="48"/>
        <v>0</v>
      </c>
      <c r="AR38" s="2">
        <f t="shared" si="83"/>
        <v>0</v>
      </c>
      <c r="AS38" s="2">
        <f t="shared" si="49"/>
        <v>0</v>
      </c>
      <c r="AT38" s="2">
        <f t="shared" si="84"/>
        <v>0</v>
      </c>
      <c r="AU38" s="2">
        <f t="shared" si="50"/>
        <v>0</v>
      </c>
      <c r="AV38" s="2">
        <f t="shared" si="85"/>
        <v>0</v>
      </c>
      <c r="AW38" s="2">
        <f t="shared" si="51"/>
        <v>0</v>
      </c>
      <c r="AX38" s="2">
        <f t="shared" si="86"/>
        <v>0</v>
      </c>
      <c r="AY38" s="2">
        <f t="shared" si="52"/>
        <v>0</v>
      </c>
      <c r="AZ38" s="2">
        <f t="shared" si="87"/>
        <v>0</v>
      </c>
      <c r="BA38" s="2">
        <f t="shared" si="53"/>
        <v>0</v>
      </c>
      <c r="BB38" s="2">
        <f t="shared" si="88"/>
        <v>0</v>
      </c>
      <c r="BC38" s="2">
        <f t="shared" si="54"/>
        <v>0</v>
      </c>
      <c r="BD38" s="2">
        <f t="shared" si="89"/>
        <v>0</v>
      </c>
      <c r="BE38" s="2">
        <f t="shared" si="55"/>
        <v>0</v>
      </c>
      <c r="BF38" s="2">
        <f t="shared" si="90"/>
        <v>0</v>
      </c>
      <c r="BG38" s="2">
        <f t="shared" si="56"/>
        <v>0</v>
      </c>
      <c r="BH38" s="2">
        <f t="shared" si="91"/>
        <v>0</v>
      </c>
      <c r="BI38" s="2">
        <f t="shared" si="57"/>
        <v>0</v>
      </c>
      <c r="BJ38" s="2">
        <f t="shared" si="92"/>
        <v>0</v>
      </c>
      <c r="BK38" s="2">
        <f t="shared" si="58"/>
        <v>0</v>
      </c>
      <c r="BL38" s="2">
        <f t="shared" si="93"/>
        <v>0</v>
      </c>
      <c r="BM38" s="2">
        <f t="shared" si="59"/>
        <v>0</v>
      </c>
      <c r="BN38" s="59">
        <f t="shared" si="94"/>
        <v>0</v>
      </c>
      <c r="BO38" s="59">
        <f t="shared" si="60"/>
        <v>0</v>
      </c>
      <c r="BP38" s="59">
        <f t="shared" si="95"/>
        <v>0</v>
      </c>
      <c r="BQ38" s="59">
        <f t="shared" si="61"/>
        <v>0</v>
      </c>
      <c r="BR38" s="59">
        <f t="shared" si="96"/>
        <v>0</v>
      </c>
      <c r="BS38" s="59">
        <f t="shared" si="62"/>
        <v>0</v>
      </c>
      <c r="BT38" s="59">
        <f t="shared" si="97"/>
        <v>0</v>
      </c>
      <c r="BU38" s="59">
        <f t="shared" si="63"/>
        <v>0</v>
      </c>
      <c r="BV38" s="59">
        <f t="shared" si="98"/>
        <v>0</v>
      </c>
      <c r="BW38" s="59">
        <f t="shared" si="64"/>
        <v>0</v>
      </c>
      <c r="BX38" s="59">
        <f t="shared" si="99"/>
        <v>0</v>
      </c>
      <c r="BY38" s="59">
        <f t="shared" si="65"/>
        <v>0</v>
      </c>
      <c r="BZ38" s="59">
        <f t="shared" si="100"/>
        <v>0</v>
      </c>
      <c r="CA38" s="59">
        <v>33</v>
      </c>
      <c r="CB38" s="60">
        <v>988233</v>
      </c>
      <c r="CC38" s="60">
        <f t="shared" si="72"/>
        <v>979</v>
      </c>
      <c r="CD38" s="61">
        <f t="shared" si="73"/>
        <v>9.9065706164436934E-4</v>
      </c>
      <c r="CE38" s="59">
        <v>47.5</v>
      </c>
      <c r="CF38" s="60">
        <v>993384</v>
      </c>
      <c r="CG38" s="60">
        <f t="shared" si="74"/>
        <v>552</v>
      </c>
      <c r="CH38" s="62">
        <f t="shared" si="75"/>
        <v>5.5567635476311272E-4</v>
      </c>
      <c r="CI38" s="59">
        <v>52.4</v>
      </c>
      <c r="CJ38" s="59">
        <v>33</v>
      </c>
      <c r="CK38" s="59">
        <v>29.89</v>
      </c>
      <c r="CL38" s="59">
        <v>36.89</v>
      </c>
      <c r="CM38" s="59"/>
      <c r="CN38" s="59"/>
      <c r="CO38" s="59"/>
      <c r="CP38" s="59"/>
      <c r="CQ38" s="59"/>
      <c r="CR38" s="59"/>
      <c r="CS38" s="59"/>
      <c r="CT38" s="59"/>
      <c r="CU38" s="59"/>
      <c r="CV38" s="59"/>
      <c r="CW38" s="59"/>
      <c r="CX38" s="59"/>
    </row>
    <row r="39" spans="1:102" s="46" customFormat="1" ht="12.75" customHeight="1" x14ac:dyDescent="0.3">
      <c r="A39" s="5"/>
      <c r="B39" s="33"/>
      <c r="C39" s="258"/>
      <c r="D39" s="258"/>
      <c r="E39" s="52"/>
      <c r="F39" s="259"/>
      <c r="G39" s="259"/>
      <c r="H39" s="52"/>
      <c r="I39" s="52"/>
      <c r="J39" s="9"/>
      <c r="K39" s="45" t="str">
        <f t="shared" ca="1" si="42"/>
        <v/>
      </c>
      <c r="L39" s="9"/>
      <c r="M39" s="45" t="str">
        <f t="shared" si="43"/>
        <v/>
      </c>
      <c r="N39" s="9"/>
      <c r="O39" s="45" t="str">
        <f t="shared" ca="1" si="44"/>
        <v/>
      </c>
      <c r="P39" s="2"/>
      <c r="Q39" s="170"/>
      <c r="R39" s="171"/>
      <c r="S39" s="156"/>
      <c r="T39" s="170"/>
      <c r="U39" s="171"/>
      <c r="V39" s="156"/>
      <c r="W39" s="170"/>
      <c r="X39" s="157"/>
      <c r="Y39" s="157"/>
      <c r="Z39" s="2" t="str">
        <f t="shared" si="66"/>
        <v/>
      </c>
      <c r="AA39" s="2" t="str">
        <f t="shared" si="67"/>
        <v/>
      </c>
      <c r="AB39" s="2" t="str">
        <f t="shared" si="76"/>
        <v/>
      </c>
      <c r="AC39" s="2">
        <f>IF(AA39="",0,IF(AA39&lt;=0,0,IF(Z39="Invalido",SUM(AK4:AK118),IF(AB39&lt;25,25-AA39,SUM(AK4:AK118)))))</f>
        <v>0</v>
      </c>
      <c r="AD39" s="2">
        <f t="shared" si="77"/>
        <v>0</v>
      </c>
      <c r="AE39" s="2">
        <f t="shared" ca="1" si="68"/>
        <v>0</v>
      </c>
      <c r="AF39" s="2">
        <f t="shared" ca="1" si="69"/>
        <v>0</v>
      </c>
      <c r="AG39" s="2">
        <f t="shared" ca="1" si="70"/>
        <v>0</v>
      </c>
      <c r="AH39" s="2">
        <f t="shared" ca="1" si="71"/>
        <v>0</v>
      </c>
      <c r="AI39" s="2">
        <f t="shared" ca="1" si="78"/>
        <v>0</v>
      </c>
      <c r="AJ39" s="2" t="e">
        <f t="shared" ca="1" si="79"/>
        <v>#REF!</v>
      </c>
      <c r="AK39" s="2">
        <f t="shared" si="45"/>
        <v>0</v>
      </c>
      <c r="AL39" s="2">
        <f t="shared" si="80"/>
        <v>0</v>
      </c>
      <c r="AM39" s="2">
        <f t="shared" si="46"/>
        <v>0</v>
      </c>
      <c r="AN39" s="2">
        <f t="shared" si="81"/>
        <v>0</v>
      </c>
      <c r="AO39" s="2">
        <f t="shared" si="47"/>
        <v>0</v>
      </c>
      <c r="AP39" s="2">
        <f t="shared" si="82"/>
        <v>0</v>
      </c>
      <c r="AQ39" s="2">
        <f t="shared" si="48"/>
        <v>0</v>
      </c>
      <c r="AR39" s="2">
        <f t="shared" si="83"/>
        <v>0</v>
      </c>
      <c r="AS39" s="2">
        <f t="shared" si="49"/>
        <v>0</v>
      </c>
      <c r="AT39" s="2">
        <f t="shared" si="84"/>
        <v>0</v>
      </c>
      <c r="AU39" s="2">
        <f t="shared" si="50"/>
        <v>0</v>
      </c>
      <c r="AV39" s="2">
        <f t="shared" si="85"/>
        <v>0</v>
      </c>
      <c r="AW39" s="2">
        <f t="shared" si="51"/>
        <v>0</v>
      </c>
      <c r="AX39" s="2">
        <f t="shared" si="86"/>
        <v>0</v>
      </c>
      <c r="AY39" s="2">
        <f t="shared" si="52"/>
        <v>0</v>
      </c>
      <c r="AZ39" s="2">
        <f t="shared" si="87"/>
        <v>0</v>
      </c>
      <c r="BA39" s="2">
        <f t="shared" si="53"/>
        <v>0</v>
      </c>
      <c r="BB39" s="2">
        <f t="shared" si="88"/>
        <v>0</v>
      </c>
      <c r="BC39" s="2">
        <f t="shared" si="54"/>
        <v>0</v>
      </c>
      <c r="BD39" s="2">
        <f t="shared" si="89"/>
        <v>0</v>
      </c>
      <c r="BE39" s="2">
        <f t="shared" si="55"/>
        <v>0</v>
      </c>
      <c r="BF39" s="2">
        <f t="shared" si="90"/>
        <v>0</v>
      </c>
      <c r="BG39" s="2">
        <f t="shared" si="56"/>
        <v>0</v>
      </c>
      <c r="BH39" s="2">
        <f t="shared" si="91"/>
        <v>0</v>
      </c>
      <c r="BI39" s="2">
        <f t="shared" si="57"/>
        <v>0</v>
      </c>
      <c r="BJ39" s="2">
        <f t="shared" si="92"/>
        <v>0</v>
      </c>
      <c r="BK39" s="2">
        <f t="shared" si="58"/>
        <v>0</v>
      </c>
      <c r="BL39" s="2">
        <f t="shared" si="93"/>
        <v>0</v>
      </c>
      <c r="BM39" s="2">
        <f t="shared" si="59"/>
        <v>0</v>
      </c>
      <c r="BN39" s="59">
        <f t="shared" si="94"/>
        <v>0</v>
      </c>
      <c r="BO39" s="59">
        <f t="shared" si="60"/>
        <v>0</v>
      </c>
      <c r="BP39" s="59">
        <f t="shared" si="95"/>
        <v>0</v>
      </c>
      <c r="BQ39" s="59">
        <f t="shared" si="61"/>
        <v>0</v>
      </c>
      <c r="BR39" s="59">
        <f t="shared" si="96"/>
        <v>0</v>
      </c>
      <c r="BS39" s="59">
        <f t="shared" si="62"/>
        <v>0</v>
      </c>
      <c r="BT39" s="59">
        <f t="shared" si="97"/>
        <v>0</v>
      </c>
      <c r="BU39" s="59">
        <f t="shared" si="63"/>
        <v>0</v>
      </c>
      <c r="BV39" s="59">
        <f t="shared" si="98"/>
        <v>0</v>
      </c>
      <c r="BW39" s="59">
        <f t="shared" si="64"/>
        <v>0</v>
      </c>
      <c r="BX39" s="59">
        <f t="shared" si="99"/>
        <v>0</v>
      </c>
      <c r="BY39" s="59">
        <f t="shared" si="65"/>
        <v>0</v>
      </c>
      <c r="BZ39" s="59">
        <f t="shared" si="100"/>
        <v>0</v>
      </c>
      <c r="CA39" s="59">
        <v>34</v>
      </c>
      <c r="CB39" s="60">
        <v>987254</v>
      </c>
      <c r="CC39" s="60">
        <f t="shared" si="72"/>
        <v>1038</v>
      </c>
      <c r="CD39" s="61">
        <f t="shared" si="73"/>
        <v>1.0514011591748426E-3</v>
      </c>
      <c r="CE39" s="59">
        <v>46.5</v>
      </c>
      <c r="CF39" s="60">
        <v>992832</v>
      </c>
      <c r="CG39" s="60">
        <f t="shared" si="74"/>
        <v>585</v>
      </c>
      <c r="CH39" s="62">
        <f t="shared" si="75"/>
        <v>5.8922355443821316E-4</v>
      </c>
      <c r="CI39" s="59">
        <v>51.5</v>
      </c>
      <c r="CJ39" s="59">
        <v>34</v>
      </c>
      <c r="CK39" s="59">
        <v>29.39</v>
      </c>
      <c r="CL39" s="59">
        <v>36.26</v>
      </c>
      <c r="CM39" s="59"/>
      <c r="CN39" s="59"/>
      <c r="CO39" s="59"/>
      <c r="CP39" s="59"/>
      <c r="CQ39" s="59"/>
      <c r="CR39" s="59"/>
      <c r="CS39" s="59"/>
      <c r="CT39" s="59"/>
      <c r="CU39" s="59"/>
      <c r="CV39" s="59"/>
      <c r="CW39" s="59"/>
      <c r="CX39" s="59"/>
    </row>
    <row r="40" spans="1:102" s="46" customFormat="1" ht="12.75" customHeight="1" x14ac:dyDescent="0.3">
      <c r="A40" s="5"/>
      <c r="B40" s="33"/>
      <c r="C40" s="258"/>
      <c r="D40" s="258"/>
      <c r="E40" s="52"/>
      <c r="F40" s="261"/>
      <c r="G40" s="262"/>
      <c r="H40" s="52"/>
      <c r="I40" s="52"/>
      <c r="J40" s="9"/>
      <c r="K40" s="45" t="str">
        <f t="shared" ca="1" si="42"/>
        <v/>
      </c>
      <c r="L40" s="9"/>
      <c r="M40" s="45" t="str">
        <f t="shared" si="43"/>
        <v/>
      </c>
      <c r="N40" s="9"/>
      <c r="O40" s="45" t="str">
        <f t="shared" ca="1" si="44"/>
        <v/>
      </c>
      <c r="P40" s="2"/>
      <c r="Q40" s="170"/>
      <c r="R40" s="171"/>
      <c r="S40" s="156"/>
      <c r="T40" s="170"/>
      <c r="U40" s="171"/>
      <c r="V40" s="156"/>
      <c r="W40" s="170"/>
      <c r="X40" s="157"/>
      <c r="Y40" s="157"/>
      <c r="Z40" s="2"/>
      <c r="AA40" s="2" t="str">
        <f t="shared" si="67"/>
        <v/>
      </c>
      <c r="AB40" s="2" t="str">
        <f t="shared" si="76"/>
        <v/>
      </c>
      <c r="AC40" s="2">
        <f>IF(AA40="",0,IF(AA40&lt;=0,0,IF(Z40="Invalido",SUM(AK5:AK119),IF(AB40&lt;25,25-AA40,SUM(AK5:AK119)))))</f>
        <v>0</v>
      </c>
      <c r="AD40" s="2">
        <f t="shared" si="77"/>
        <v>0</v>
      </c>
      <c r="AE40" s="2">
        <f t="shared" ca="1" si="68"/>
        <v>0</v>
      </c>
      <c r="AF40" s="2">
        <f t="shared" ca="1" si="69"/>
        <v>0</v>
      </c>
      <c r="AG40" s="2">
        <f t="shared" ref="AG40:AG43" ca="1" si="102">$H$103*((1.004867^AE40)-1)/0.004867</f>
        <v>0</v>
      </c>
      <c r="AH40" s="2">
        <f t="shared" ref="AH40:AH43" ca="1" si="103">$H$103*((1.004867^AF40)-1)/(0.004867*(1.004867^AF40))</f>
        <v>0</v>
      </c>
      <c r="AI40" s="2">
        <f t="shared" ca="1" si="78"/>
        <v>0</v>
      </c>
      <c r="AJ40" s="2"/>
      <c r="AK40" s="2">
        <f t="shared" si="45"/>
        <v>0</v>
      </c>
      <c r="AL40" s="2">
        <f t="shared" si="80"/>
        <v>0</v>
      </c>
      <c r="AM40" s="2">
        <f t="shared" si="46"/>
        <v>0</v>
      </c>
      <c r="AN40" s="2">
        <f t="shared" si="81"/>
        <v>0</v>
      </c>
      <c r="AO40" s="2">
        <f t="shared" si="47"/>
        <v>0</v>
      </c>
      <c r="AP40" s="2">
        <f t="shared" si="82"/>
        <v>0</v>
      </c>
      <c r="AQ40" s="2">
        <f t="shared" si="48"/>
        <v>0</v>
      </c>
      <c r="AR40" s="2">
        <f t="shared" si="83"/>
        <v>0</v>
      </c>
      <c r="AS40" s="2">
        <f t="shared" si="49"/>
        <v>0</v>
      </c>
      <c r="AT40" s="2">
        <f t="shared" si="84"/>
        <v>0</v>
      </c>
      <c r="AU40" s="2">
        <f t="shared" si="50"/>
        <v>0</v>
      </c>
      <c r="AV40" s="2">
        <f t="shared" si="85"/>
        <v>0</v>
      </c>
      <c r="AW40" s="2">
        <f t="shared" si="51"/>
        <v>0</v>
      </c>
      <c r="AX40" s="2">
        <f t="shared" si="86"/>
        <v>0</v>
      </c>
      <c r="AY40" s="2">
        <f t="shared" si="52"/>
        <v>0</v>
      </c>
      <c r="AZ40" s="2">
        <f t="shared" si="87"/>
        <v>0</v>
      </c>
      <c r="BA40" s="2">
        <f t="shared" si="53"/>
        <v>0</v>
      </c>
      <c r="BB40" s="2">
        <f t="shared" si="88"/>
        <v>0</v>
      </c>
      <c r="BC40" s="2">
        <f t="shared" si="54"/>
        <v>0</v>
      </c>
      <c r="BD40" s="2">
        <f t="shared" si="89"/>
        <v>0</v>
      </c>
      <c r="BE40" s="2">
        <f t="shared" si="55"/>
        <v>0</v>
      </c>
      <c r="BF40" s="2">
        <f t="shared" si="90"/>
        <v>0</v>
      </c>
      <c r="BG40" s="2">
        <f t="shared" si="56"/>
        <v>0</v>
      </c>
      <c r="BH40" s="2">
        <f t="shared" si="91"/>
        <v>0</v>
      </c>
      <c r="BI40" s="2">
        <f t="shared" si="57"/>
        <v>0</v>
      </c>
      <c r="BJ40" s="2">
        <f t="shared" si="92"/>
        <v>0</v>
      </c>
      <c r="BK40" s="2">
        <f t="shared" si="58"/>
        <v>0</v>
      </c>
      <c r="BL40" s="2">
        <f t="shared" si="93"/>
        <v>0</v>
      </c>
      <c r="BM40" s="2">
        <f t="shared" si="59"/>
        <v>0</v>
      </c>
      <c r="BN40" s="59">
        <f t="shared" si="94"/>
        <v>0</v>
      </c>
      <c r="BO40" s="59">
        <f t="shared" si="60"/>
        <v>0</v>
      </c>
      <c r="BP40" s="59">
        <f t="shared" si="95"/>
        <v>0</v>
      </c>
      <c r="BQ40" s="59">
        <f t="shared" si="61"/>
        <v>0</v>
      </c>
      <c r="BR40" s="59">
        <f t="shared" si="96"/>
        <v>0</v>
      </c>
      <c r="BS40" s="59">
        <f t="shared" si="62"/>
        <v>0</v>
      </c>
      <c r="BT40" s="59">
        <f t="shared" si="97"/>
        <v>0</v>
      </c>
      <c r="BU40" s="59">
        <f t="shared" si="63"/>
        <v>0</v>
      </c>
      <c r="BV40" s="59">
        <f t="shared" si="98"/>
        <v>0</v>
      </c>
      <c r="BW40" s="59">
        <f t="shared" si="64"/>
        <v>0</v>
      </c>
      <c r="BX40" s="59">
        <f t="shared" si="99"/>
        <v>0</v>
      </c>
      <c r="BY40" s="59">
        <f t="shared" si="65"/>
        <v>0</v>
      </c>
      <c r="BZ40" s="59">
        <f t="shared" si="100"/>
        <v>0</v>
      </c>
      <c r="CA40" s="59">
        <v>35</v>
      </c>
      <c r="CB40" s="60">
        <v>986216</v>
      </c>
      <c r="CC40" s="60">
        <f t="shared" si="72"/>
        <v>1102</v>
      </c>
      <c r="CD40" s="61">
        <f t="shared" si="73"/>
        <v>1.1174022729300681E-3</v>
      </c>
      <c r="CE40" s="59">
        <v>45.6</v>
      </c>
      <c r="CF40" s="60">
        <v>992247</v>
      </c>
      <c r="CG40" s="60">
        <f t="shared" si="74"/>
        <v>622</v>
      </c>
      <c r="CH40" s="62">
        <f t="shared" si="75"/>
        <v>6.2686004593614294E-4</v>
      </c>
      <c r="CI40" s="59">
        <v>50.5</v>
      </c>
      <c r="CJ40" s="59">
        <v>35</v>
      </c>
      <c r="CK40" s="59">
        <v>28.9</v>
      </c>
      <c r="CL40" s="59">
        <v>35.64</v>
      </c>
      <c r="CM40" s="59"/>
      <c r="CN40" s="59"/>
      <c r="CO40" s="59"/>
      <c r="CP40" s="59"/>
      <c r="CQ40" s="59"/>
      <c r="CR40" s="59"/>
      <c r="CS40" s="59"/>
      <c r="CT40" s="59"/>
      <c r="CU40" s="59"/>
      <c r="CV40" s="59"/>
      <c r="CW40" s="59"/>
      <c r="CX40" s="59"/>
    </row>
    <row r="41" spans="1:102" s="46" customFormat="1" ht="3" customHeight="1" x14ac:dyDescent="0.3">
      <c r="A41" s="5"/>
      <c r="C41" s="32"/>
      <c r="D41" s="32"/>
      <c r="E41" s="32"/>
      <c r="F41" s="53"/>
      <c r="G41" s="53"/>
      <c r="H41" s="32"/>
      <c r="I41" s="32"/>
      <c r="J41" s="9"/>
      <c r="K41" s="29"/>
      <c r="L41" s="9"/>
      <c r="M41" s="29"/>
      <c r="N41" s="9"/>
      <c r="O41" s="29"/>
      <c r="P41" s="2"/>
      <c r="Q41" s="170"/>
      <c r="R41" s="171"/>
      <c r="S41" s="156"/>
      <c r="T41" s="170"/>
      <c r="U41" s="171"/>
      <c r="V41" s="156"/>
      <c r="W41" s="170"/>
      <c r="X41" s="157"/>
      <c r="Y41" s="157"/>
      <c r="Z41" s="2"/>
      <c r="AA41" s="2" t="str">
        <f t="shared" si="67"/>
        <v/>
      </c>
      <c r="AB41" s="2" t="str">
        <f t="shared" si="76"/>
        <v/>
      </c>
      <c r="AC41" s="2">
        <f>IF(AA41="",0,IF(AA41&lt;=0,0,IF(Z41="Invalido",SUM(AK6:AK120),IF(AB41&lt;25,25-AA41,SUM(AK6:AK120)))))</f>
        <v>0</v>
      </c>
      <c r="AD41" s="2">
        <f t="shared" si="77"/>
        <v>0</v>
      </c>
      <c r="AE41" s="2">
        <f t="shared" ca="1" si="68"/>
        <v>0</v>
      </c>
      <c r="AF41" s="2">
        <f t="shared" ca="1" si="69"/>
        <v>0</v>
      </c>
      <c r="AG41" s="2">
        <f t="shared" ca="1" si="102"/>
        <v>0</v>
      </c>
      <c r="AH41" s="2">
        <f t="shared" ca="1" si="103"/>
        <v>0</v>
      </c>
      <c r="AI41" s="2">
        <f t="shared" ca="1" si="78"/>
        <v>0</v>
      </c>
      <c r="AJ41" s="2"/>
      <c r="AK41" s="2">
        <f t="shared" si="45"/>
        <v>0</v>
      </c>
      <c r="AL41" s="2">
        <f t="shared" si="80"/>
        <v>0</v>
      </c>
      <c r="AM41" s="2">
        <f t="shared" si="46"/>
        <v>0</v>
      </c>
      <c r="AN41" s="2">
        <f t="shared" si="81"/>
        <v>0</v>
      </c>
      <c r="AO41" s="2">
        <f t="shared" si="47"/>
        <v>0</v>
      </c>
      <c r="AP41" s="2">
        <f t="shared" si="82"/>
        <v>0</v>
      </c>
      <c r="AQ41" s="2">
        <f t="shared" si="48"/>
        <v>0</v>
      </c>
      <c r="AR41" s="2">
        <f t="shared" si="83"/>
        <v>0</v>
      </c>
      <c r="AS41" s="2">
        <f t="shared" si="49"/>
        <v>0</v>
      </c>
      <c r="AT41" s="2">
        <f t="shared" si="84"/>
        <v>0</v>
      </c>
      <c r="AU41" s="2">
        <f t="shared" si="50"/>
        <v>0</v>
      </c>
      <c r="AV41" s="2">
        <f t="shared" si="85"/>
        <v>0</v>
      </c>
      <c r="AW41" s="2">
        <f t="shared" si="51"/>
        <v>0</v>
      </c>
      <c r="AX41" s="2">
        <f t="shared" si="86"/>
        <v>0</v>
      </c>
      <c r="AY41" s="2">
        <f t="shared" si="52"/>
        <v>0</v>
      </c>
      <c r="AZ41" s="2">
        <f t="shared" si="87"/>
        <v>0</v>
      </c>
      <c r="BA41" s="2">
        <f t="shared" si="53"/>
        <v>0</v>
      </c>
      <c r="BB41" s="2">
        <f t="shared" si="88"/>
        <v>0</v>
      </c>
      <c r="BC41" s="2">
        <f t="shared" si="54"/>
        <v>0</v>
      </c>
      <c r="BD41" s="2">
        <f t="shared" si="89"/>
        <v>0</v>
      </c>
      <c r="BE41" s="2">
        <f t="shared" si="55"/>
        <v>0</v>
      </c>
      <c r="BF41" s="2">
        <f t="shared" si="90"/>
        <v>0</v>
      </c>
      <c r="BG41" s="2">
        <f t="shared" si="56"/>
        <v>0</v>
      </c>
      <c r="BH41" s="2">
        <f t="shared" si="91"/>
        <v>0</v>
      </c>
      <c r="BI41" s="2">
        <f t="shared" si="57"/>
        <v>0</v>
      </c>
      <c r="BJ41" s="2">
        <f t="shared" si="92"/>
        <v>0</v>
      </c>
      <c r="BK41" s="2">
        <f t="shared" si="58"/>
        <v>0</v>
      </c>
      <c r="BL41" s="2">
        <f t="shared" si="93"/>
        <v>0</v>
      </c>
      <c r="BM41" s="2">
        <f t="shared" si="59"/>
        <v>0</v>
      </c>
      <c r="BN41" s="59">
        <f t="shared" si="94"/>
        <v>0</v>
      </c>
      <c r="BO41" s="59">
        <f t="shared" si="60"/>
        <v>0</v>
      </c>
      <c r="BP41" s="59">
        <f t="shared" si="95"/>
        <v>0</v>
      </c>
      <c r="BQ41" s="59">
        <f t="shared" si="61"/>
        <v>0</v>
      </c>
      <c r="BR41" s="59">
        <f t="shared" si="96"/>
        <v>0</v>
      </c>
      <c r="BS41" s="59">
        <f t="shared" si="62"/>
        <v>0</v>
      </c>
      <c r="BT41" s="59">
        <f t="shared" si="97"/>
        <v>0</v>
      </c>
      <c r="BU41" s="59">
        <f t="shared" si="63"/>
        <v>0</v>
      </c>
      <c r="BV41" s="59">
        <f t="shared" si="98"/>
        <v>0</v>
      </c>
      <c r="BW41" s="59">
        <f t="shared" si="64"/>
        <v>0</v>
      </c>
      <c r="BX41" s="59">
        <f t="shared" si="99"/>
        <v>0</v>
      </c>
      <c r="BY41" s="59">
        <f t="shared" si="65"/>
        <v>0</v>
      </c>
      <c r="BZ41" s="59">
        <f t="shared" si="100"/>
        <v>0</v>
      </c>
      <c r="CA41" s="59">
        <v>36</v>
      </c>
      <c r="CB41" s="60">
        <v>985114</v>
      </c>
      <c r="CC41" s="60">
        <f t="shared" si="72"/>
        <v>1172</v>
      </c>
      <c r="CD41" s="61">
        <f t="shared" si="73"/>
        <v>1.1897100234084584E-3</v>
      </c>
      <c r="CE41" s="59">
        <v>44.6</v>
      </c>
      <c r="CF41" s="60">
        <v>991625</v>
      </c>
      <c r="CG41" s="60">
        <f t="shared" si="74"/>
        <v>662</v>
      </c>
      <c r="CH41" s="62">
        <f t="shared" si="75"/>
        <v>6.6759107525526278E-4</v>
      </c>
      <c r="CI41" s="59">
        <v>49.5</v>
      </c>
      <c r="CJ41" s="59">
        <v>36</v>
      </c>
      <c r="CK41" s="59">
        <v>28.4</v>
      </c>
      <c r="CL41" s="59">
        <v>35.01</v>
      </c>
      <c r="CM41" s="59"/>
      <c r="CN41" s="59"/>
      <c r="CO41" s="59"/>
      <c r="CP41" s="59"/>
      <c r="CQ41" s="59"/>
      <c r="CR41" s="59"/>
      <c r="CS41" s="59"/>
      <c r="CT41" s="59"/>
      <c r="CU41" s="59"/>
      <c r="CV41" s="59"/>
      <c r="CW41" s="59"/>
      <c r="CX41" s="59"/>
    </row>
    <row r="42" spans="1:102" s="46" customFormat="1" ht="12.75" customHeight="1" x14ac:dyDescent="0.3">
      <c r="A42" s="5"/>
      <c r="C42" s="9"/>
      <c r="D42" s="9"/>
      <c r="E42" s="9"/>
      <c r="F42" s="9"/>
      <c r="G42" s="9"/>
      <c r="H42" s="9"/>
      <c r="I42" s="9"/>
      <c r="J42" s="9"/>
      <c r="K42" s="29"/>
      <c r="L42" s="9"/>
      <c r="M42" s="29"/>
      <c r="N42" s="9"/>
      <c r="O42" s="29"/>
      <c r="P42" s="2"/>
      <c r="Q42" s="170" t="str">
        <f ca="1">Q158</f>
        <v/>
      </c>
      <c r="R42" s="171" t="str">
        <f ca="1">+AE112</f>
        <v/>
      </c>
      <c r="S42" s="156"/>
      <c r="T42" s="170" t="str">
        <f>R158</f>
        <v/>
      </c>
      <c r="U42" s="171" t="str">
        <f>+S158</f>
        <v/>
      </c>
      <c r="V42" s="156"/>
      <c r="W42" s="170" t="str">
        <f ca="1">+T158</f>
        <v/>
      </c>
      <c r="X42" s="157"/>
      <c r="Y42" s="157"/>
      <c r="Z42" s="2"/>
      <c r="AA42" s="2" t="str">
        <f t="shared" si="67"/>
        <v/>
      </c>
      <c r="AB42" s="2" t="str">
        <f t="shared" si="76"/>
        <v/>
      </c>
      <c r="AC42" s="2">
        <f>IF(AA42="",0,IF(AA42&lt;=0,0,IF(Z42="Invalido",SUM(AK7:AK121),IF(AB42&lt;25,25-AA42,SUM(AK7:AK121)))))</f>
        <v>0</v>
      </c>
      <c r="AD42" s="2">
        <f t="shared" si="77"/>
        <v>0</v>
      </c>
      <c r="AE42" s="2">
        <f t="shared" ca="1" si="68"/>
        <v>0</v>
      </c>
      <c r="AF42" s="2">
        <f t="shared" ca="1" si="69"/>
        <v>0</v>
      </c>
      <c r="AG42" s="2">
        <f t="shared" ca="1" si="102"/>
        <v>0</v>
      </c>
      <c r="AH42" s="2">
        <f t="shared" ca="1" si="103"/>
        <v>0</v>
      </c>
      <c r="AI42" s="2">
        <f t="shared" ca="1" si="78"/>
        <v>0</v>
      </c>
      <c r="AJ42" s="2"/>
      <c r="AK42" s="2">
        <f t="shared" si="45"/>
        <v>0</v>
      </c>
      <c r="AL42" s="2">
        <f t="shared" si="80"/>
        <v>0</v>
      </c>
      <c r="AM42" s="2">
        <f t="shared" si="46"/>
        <v>0</v>
      </c>
      <c r="AN42" s="2">
        <f t="shared" si="81"/>
        <v>0</v>
      </c>
      <c r="AO42" s="2">
        <f t="shared" si="47"/>
        <v>0</v>
      </c>
      <c r="AP42" s="2">
        <f t="shared" si="82"/>
        <v>0</v>
      </c>
      <c r="AQ42" s="2">
        <f t="shared" si="48"/>
        <v>0</v>
      </c>
      <c r="AR42" s="2">
        <f t="shared" si="83"/>
        <v>0</v>
      </c>
      <c r="AS42" s="2">
        <f t="shared" si="49"/>
        <v>0</v>
      </c>
      <c r="AT42" s="2">
        <f t="shared" si="84"/>
        <v>0</v>
      </c>
      <c r="AU42" s="2">
        <f t="shared" si="50"/>
        <v>0</v>
      </c>
      <c r="AV42" s="2">
        <f t="shared" si="85"/>
        <v>0</v>
      </c>
      <c r="AW42" s="2">
        <f t="shared" si="51"/>
        <v>0</v>
      </c>
      <c r="AX42" s="2">
        <f t="shared" si="86"/>
        <v>0</v>
      </c>
      <c r="AY42" s="2">
        <f t="shared" si="52"/>
        <v>0</v>
      </c>
      <c r="AZ42" s="2">
        <f t="shared" si="87"/>
        <v>0</v>
      </c>
      <c r="BA42" s="2">
        <f t="shared" si="53"/>
        <v>0</v>
      </c>
      <c r="BB42" s="2">
        <f t="shared" si="88"/>
        <v>0</v>
      </c>
      <c r="BC42" s="2">
        <f t="shared" si="54"/>
        <v>0</v>
      </c>
      <c r="BD42" s="2">
        <f t="shared" si="89"/>
        <v>0</v>
      </c>
      <c r="BE42" s="2">
        <f t="shared" si="55"/>
        <v>0</v>
      </c>
      <c r="BF42" s="2">
        <f t="shared" si="90"/>
        <v>0</v>
      </c>
      <c r="BG42" s="2">
        <f t="shared" si="56"/>
        <v>0</v>
      </c>
      <c r="BH42" s="2">
        <f t="shared" si="91"/>
        <v>0</v>
      </c>
      <c r="BI42" s="2">
        <f t="shared" si="57"/>
        <v>0</v>
      </c>
      <c r="BJ42" s="2">
        <f t="shared" si="92"/>
        <v>0</v>
      </c>
      <c r="BK42" s="2">
        <f t="shared" si="58"/>
        <v>0</v>
      </c>
      <c r="BL42" s="2">
        <f t="shared" si="93"/>
        <v>0</v>
      </c>
      <c r="BM42" s="2">
        <f t="shared" si="59"/>
        <v>0</v>
      </c>
      <c r="BN42" s="59">
        <f t="shared" si="94"/>
        <v>0</v>
      </c>
      <c r="BO42" s="59">
        <f t="shared" si="60"/>
        <v>0</v>
      </c>
      <c r="BP42" s="59">
        <f t="shared" si="95"/>
        <v>0</v>
      </c>
      <c r="BQ42" s="59">
        <f t="shared" si="61"/>
        <v>0</v>
      </c>
      <c r="BR42" s="59">
        <f t="shared" si="96"/>
        <v>0</v>
      </c>
      <c r="BS42" s="59">
        <f t="shared" si="62"/>
        <v>0</v>
      </c>
      <c r="BT42" s="59">
        <f t="shared" si="97"/>
        <v>0</v>
      </c>
      <c r="BU42" s="59">
        <f t="shared" si="63"/>
        <v>0</v>
      </c>
      <c r="BV42" s="59">
        <f t="shared" si="98"/>
        <v>0</v>
      </c>
      <c r="BW42" s="59">
        <f t="shared" si="64"/>
        <v>0</v>
      </c>
      <c r="BX42" s="59">
        <f t="shared" si="99"/>
        <v>0</v>
      </c>
      <c r="BY42" s="59">
        <f t="shared" si="65"/>
        <v>0</v>
      </c>
      <c r="BZ42" s="59">
        <f t="shared" si="100"/>
        <v>0</v>
      </c>
      <c r="CA42" s="59">
        <v>37</v>
      </c>
      <c r="CB42" s="60">
        <v>983942</v>
      </c>
      <c r="CC42" s="60">
        <f t="shared" si="72"/>
        <v>1249</v>
      </c>
      <c r="CD42" s="61">
        <f t="shared" si="73"/>
        <v>1.2693837644901834E-3</v>
      </c>
      <c r="CE42" s="59">
        <v>43.7</v>
      </c>
      <c r="CF42" s="60">
        <v>990963</v>
      </c>
      <c r="CG42" s="60">
        <f t="shared" si="74"/>
        <v>705</v>
      </c>
      <c r="CH42" s="62">
        <f t="shared" si="75"/>
        <v>7.1142918554981365E-4</v>
      </c>
      <c r="CI42" s="59">
        <v>48.6</v>
      </c>
      <c r="CJ42" s="59">
        <v>37</v>
      </c>
      <c r="CK42" s="59">
        <v>27.9</v>
      </c>
      <c r="CL42" s="59">
        <v>34.380000000000003</v>
      </c>
      <c r="CM42" s="59"/>
      <c r="CN42" s="59"/>
      <c r="CO42" s="59"/>
      <c r="CP42" s="59"/>
      <c r="CQ42" s="59"/>
      <c r="CR42" s="59"/>
      <c r="CS42" s="59"/>
      <c r="CT42" s="59"/>
      <c r="CU42" s="59"/>
      <c r="CV42" s="59"/>
      <c r="CW42" s="59"/>
      <c r="CX42" s="59"/>
    </row>
    <row r="43" spans="1:102" s="46" customFormat="1" ht="12.75" customHeight="1" x14ac:dyDescent="0.3">
      <c r="A43" s="5"/>
      <c r="B43" s="5"/>
      <c r="C43" s="14" t="str">
        <f>C60</f>
        <v/>
      </c>
      <c r="D43" s="14"/>
      <c r="E43" s="14"/>
      <c r="F43" s="9"/>
      <c r="G43" s="260" t="s">
        <v>14</v>
      </c>
      <c r="H43" s="260"/>
      <c r="I43" s="260"/>
      <c r="J43" s="9"/>
      <c r="K43" s="45">
        <f ca="1">AA115</f>
        <v>12170474.8926144</v>
      </c>
      <c r="L43" s="9"/>
      <c r="M43" s="45">
        <f>AB119</f>
        <v>810000000</v>
      </c>
      <c r="N43" s="9"/>
      <c r="O43" s="45">
        <f ca="1">+AC119</f>
        <v>822170474.89261436</v>
      </c>
      <c r="P43" s="2"/>
      <c r="Q43" s="170" t="str">
        <f ca="1">Q159</f>
        <v/>
      </c>
      <c r="R43" s="171" t="str">
        <f ca="1">+AE113</f>
        <v/>
      </c>
      <c r="S43" s="156"/>
      <c r="T43" s="170" t="str">
        <f>R159</f>
        <v/>
      </c>
      <c r="U43" s="171" t="str">
        <f>+S159</f>
        <v/>
      </c>
      <c r="V43" s="156"/>
      <c r="W43" s="170" t="str">
        <f ca="1">+T159</f>
        <v/>
      </c>
      <c r="X43" s="157"/>
      <c r="Y43" s="157"/>
      <c r="Z43" s="2"/>
      <c r="AA43" s="2"/>
      <c r="AB43" s="2" t="str">
        <f t="shared" si="76"/>
        <v/>
      </c>
      <c r="AC43" s="2">
        <f>IF(AA43="",0,IF(AA43&lt;=0,0,IF(Z43="Invalido",SUM(AK8:AK122),IF(AB43&lt;25,25-AA43,SUM(AK8:AK122)))))</f>
        <v>0</v>
      </c>
      <c r="AD43" s="2">
        <f t="shared" si="77"/>
        <v>0</v>
      </c>
      <c r="AE43" s="2">
        <f t="shared" ca="1" si="68"/>
        <v>0</v>
      </c>
      <c r="AF43" s="2">
        <f t="shared" ca="1" si="69"/>
        <v>0</v>
      </c>
      <c r="AG43" s="2">
        <f t="shared" ca="1" si="102"/>
        <v>0</v>
      </c>
      <c r="AH43" s="2">
        <f t="shared" ca="1" si="103"/>
        <v>0</v>
      </c>
      <c r="AI43" s="2">
        <f t="shared" ca="1" si="78"/>
        <v>0</v>
      </c>
      <c r="AJ43" s="2"/>
      <c r="AK43" s="2">
        <f t="shared" si="45"/>
        <v>0</v>
      </c>
      <c r="AL43" s="2">
        <f t="shared" si="80"/>
        <v>0</v>
      </c>
      <c r="AM43" s="2">
        <f t="shared" si="46"/>
        <v>0</v>
      </c>
      <c r="AN43" s="2">
        <f t="shared" si="81"/>
        <v>0</v>
      </c>
      <c r="AO43" s="2">
        <f t="shared" si="47"/>
        <v>0</v>
      </c>
      <c r="AP43" s="2">
        <f t="shared" si="82"/>
        <v>0</v>
      </c>
      <c r="AQ43" s="2">
        <f t="shared" si="48"/>
        <v>0</v>
      </c>
      <c r="AR43" s="2">
        <f t="shared" si="83"/>
        <v>0</v>
      </c>
      <c r="AS43" s="2">
        <f t="shared" si="49"/>
        <v>0</v>
      </c>
      <c r="AT43" s="2">
        <f t="shared" si="84"/>
        <v>0</v>
      </c>
      <c r="AU43" s="2">
        <f t="shared" si="50"/>
        <v>0</v>
      </c>
      <c r="AV43" s="2">
        <f t="shared" si="85"/>
        <v>0</v>
      </c>
      <c r="AW43" s="2">
        <f t="shared" si="51"/>
        <v>0</v>
      </c>
      <c r="AX43" s="2">
        <f t="shared" si="86"/>
        <v>0</v>
      </c>
      <c r="AY43" s="2">
        <f t="shared" si="52"/>
        <v>0</v>
      </c>
      <c r="AZ43" s="2">
        <f t="shared" si="87"/>
        <v>0</v>
      </c>
      <c r="BA43" s="2">
        <f t="shared" si="53"/>
        <v>0</v>
      </c>
      <c r="BB43" s="2">
        <f t="shared" si="88"/>
        <v>0</v>
      </c>
      <c r="BC43" s="2">
        <f t="shared" si="54"/>
        <v>0</v>
      </c>
      <c r="BD43" s="2">
        <f t="shared" si="89"/>
        <v>0</v>
      </c>
      <c r="BE43" s="2">
        <f t="shared" si="55"/>
        <v>0</v>
      </c>
      <c r="BF43" s="2">
        <f t="shared" si="90"/>
        <v>0</v>
      </c>
      <c r="BG43" s="2">
        <f t="shared" si="56"/>
        <v>0</v>
      </c>
      <c r="BH43" s="2">
        <f t="shared" si="91"/>
        <v>0</v>
      </c>
      <c r="BI43" s="2">
        <f t="shared" si="57"/>
        <v>0</v>
      </c>
      <c r="BJ43" s="2">
        <f t="shared" si="92"/>
        <v>0</v>
      </c>
      <c r="BK43" s="2">
        <f t="shared" si="58"/>
        <v>0</v>
      </c>
      <c r="BL43" s="2">
        <f t="shared" si="93"/>
        <v>0</v>
      </c>
      <c r="BM43" s="2">
        <f t="shared" si="59"/>
        <v>0</v>
      </c>
      <c r="BN43" s="59">
        <f t="shared" si="94"/>
        <v>0</v>
      </c>
      <c r="BO43" s="59">
        <f t="shared" si="60"/>
        <v>0</v>
      </c>
      <c r="BP43" s="59">
        <f t="shared" si="95"/>
        <v>0</v>
      </c>
      <c r="BQ43" s="59">
        <f t="shared" si="61"/>
        <v>0</v>
      </c>
      <c r="BR43" s="59">
        <f t="shared" si="96"/>
        <v>0</v>
      </c>
      <c r="BS43" s="59">
        <f t="shared" si="62"/>
        <v>0</v>
      </c>
      <c r="BT43" s="59">
        <f t="shared" si="97"/>
        <v>0</v>
      </c>
      <c r="BU43" s="59">
        <f t="shared" si="63"/>
        <v>0</v>
      </c>
      <c r="BV43" s="59">
        <f t="shared" si="98"/>
        <v>0</v>
      </c>
      <c r="BW43" s="59">
        <f t="shared" si="64"/>
        <v>0</v>
      </c>
      <c r="BX43" s="59">
        <f t="shared" si="99"/>
        <v>0</v>
      </c>
      <c r="BY43" s="59">
        <f t="shared" si="65"/>
        <v>0</v>
      </c>
      <c r="BZ43" s="59">
        <f t="shared" si="100"/>
        <v>0</v>
      </c>
      <c r="CA43" s="59">
        <v>38</v>
      </c>
      <c r="CB43" s="60">
        <v>982693</v>
      </c>
      <c r="CC43" s="60">
        <f t="shared" si="72"/>
        <v>1333</v>
      </c>
      <c r="CD43" s="61">
        <f t="shared" si="73"/>
        <v>1.3564765394685828E-3</v>
      </c>
      <c r="CE43" s="59">
        <v>42.7</v>
      </c>
      <c r="CF43" s="60">
        <v>990258</v>
      </c>
      <c r="CG43" s="60">
        <f t="shared" si="74"/>
        <v>753</v>
      </c>
      <c r="CH43" s="62">
        <f t="shared" si="75"/>
        <v>7.6040789370042958E-4</v>
      </c>
      <c r="CI43" s="59">
        <v>47.6</v>
      </c>
      <c r="CJ43" s="59">
        <v>38</v>
      </c>
      <c r="CK43" s="59">
        <v>27.39</v>
      </c>
      <c r="CL43" s="59">
        <v>33.74</v>
      </c>
      <c r="CM43" s="59"/>
      <c r="CN43" s="59"/>
      <c r="CO43" s="59"/>
      <c r="CP43" s="59"/>
      <c r="CQ43" s="59"/>
      <c r="CR43" s="59"/>
      <c r="CS43" s="59"/>
      <c r="CT43" s="59"/>
      <c r="CU43" s="59"/>
      <c r="CV43" s="59"/>
      <c r="CW43" s="59"/>
      <c r="CX43" s="59"/>
    </row>
    <row r="44" spans="1:102" s="46" customFormat="1" ht="12.75" customHeight="1" x14ac:dyDescent="0.3">
      <c r="A44" s="5"/>
      <c r="B44" s="5"/>
      <c r="C44" s="83"/>
      <c r="D44" s="83"/>
      <c r="E44" s="83"/>
      <c r="F44" s="5"/>
      <c r="G44" s="5"/>
      <c r="H44" s="5"/>
      <c r="I44" s="5"/>
      <c r="J44" s="5"/>
      <c r="K44" s="5"/>
      <c r="L44" s="5"/>
      <c r="M44" s="5"/>
      <c r="N44" s="5"/>
      <c r="O44" s="5"/>
      <c r="P44" s="156"/>
      <c r="Q44" s="170" t="str">
        <f ca="1">Q160</f>
        <v/>
      </c>
      <c r="R44" s="171" t="str">
        <f ca="1">+AE114</f>
        <v/>
      </c>
      <c r="S44" s="156"/>
      <c r="T44" s="170" t="str">
        <f>R160</f>
        <v/>
      </c>
      <c r="U44" s="171" t="str">
        <f>+S160</f>
        <v/>
      </c>
      <c r="V44" s="156"/>
      <c r="W44" s="170" t="str">
        <f ca="1">+T160</f>
        <v/>
      </c>
      <c r="X44" s="157"/>
      <c r="Y44" s="157"/>
      <c r="Z44" s="2"/>
      <c r="AA44" s="2"/>
      <c r="AB44" s="2"/>
      <c r="AC44" s="2"/>
      <c r="AD44" s="2"/>
      <c r="AE44" s="2"/>
      <c r="AF44" s="2"/>
      <c r="AG44" s="2">
        <f ca="1">SUM(AG20:AG43)</f>
        <v>34072600.827194087</v>
      </c>
      <c r="AH44" s="2">
        <f ca="1">SUM(AH20:AH43)</f>
        <v>98113103.079704508</v>
      </c>
      <c r="AI44" s="2">
        <f ca="1">IF(AG45="A","",IF(SUM(AI20:AI43)&lt;=0,1,SUM(AI20:AI43)))</f>
        <v>12170474.8926144</v>
      </c>
      <c r="AJ44" s="2"/>
      <c r="AK44" s="2">
        <f t="shared" si="45"/>
        <v>0</v>
      </c>
      <c r="AL44" s="2">
        <f t="shared" si="80"/>
        <v>0</v>
      </c>
      <c r="AM44" s="2">
        <f t="shared" si="46"/>
        <v>0</v>
      </c>
      <c r="AN44" s="2">
        <f t="shared" si="81"/>
        <v>0</v>
      </c>
      <c r="AO44" s="2">
        <f t="shared" si="47"/>
        <v>0</v>
      </c>
      <c r="AP44" s="2">
        <f t="shared" si="82"/>
        <v>0</v>
      </c>
      <c r="AQ44" s="2">
        <f t="shared" si="48"/>
        <v>0</v>
      </c>
      <c r="AR44" s="2">
        <f t="shared" si="83"/>
        <v>0</v>
      </c>
      <c r="AS44" s="2">
        <f t="shared" si="49"/>
        <v>0</v>
      </c>
      <c r="AT44" s="2">
        <f t="shared" si="84"/>
        <v>0</v>
      </c>
      <c r="AU44" s="2">
        <f t="shared" si="50"/>
        <v>0</v>
      </c>
      <c r="AV44" s="2">
        <f t="shared" si="85"/>
        <v>0</v>
      </c>
      <c r="AW44" s="2">
        <f t="shared" si="51"/>
        <v>0</v>
      </c>
      <c r="AX44" s="2">
        <f t="shared" si="86"/>
        <v>0</v>
      </c>
      <c r="AY44" s="2">
        <f t="shared" si="52"/>
        <v>0</v>
      </c>
      <c r="AZ44" s="2">
        <f t="shared" si="87"/>
        <v>0</v>
      </c>
      <c r="BA44" s="2">
        <f t="shared" si="53"/>
        <v>0</v>
      </c>
      <c r="BB44" s="2">
        <f t="shared" si="88"/>
        <v>0</v>
      </c>
      <c r="BC44" s="2">
        <f t="shared" si="54"/>
        <v>0</v>
      </c>
      <c r="BD44" s="2">
        <f t="shared" si="89"/>
        <v>0</v>
      </c>
      <c r="BE44" s="2">
        <f t="shared" si="55"/>
        <v>0</v>
      </c>
      <c r="BF44" s="2">
        <f t="shared" si="90"/>
        <v>0</v>
      </c>
      <c r="BG44" s="2">
        <f t="shared" si="56"/>
        <v>0</v>
      </c>
      <c r="BH44" s="2">
        <f t="shared" si="91"/>
        <v>0</v>
      </c>
      <c r="BI44" s="2">
        <f t="shared" si="57"/>
        <v>0</v>
      </c>
      <c r="BJ44" s="2">
        <f t="shared" si="92"/>
        <v>0</v>
      </c>
      <c r="BK44" s="2">
        <f t="shared" si="58"/>
        <v>0</v>
      </c>
      <c r="BL44" s="2">
        <f t="shared" si="93"/>
        <v>0</v>
      </c>
      <c r="BM44" s="2">
        <f t="shared" si="59"/>
        <v>0</v>
      </c>
      <c r="BN44" s="59">
        <f t="shared" si="94"/>
        <v>0</v>
      </c>
      <c r="BO44" s="59">
        <f t="shared" si="60"/>
        <v>0</v>
      </c>
      <c r="BP44" s="59">
        <f t="shared" si="95"/>
        <v>0</v>
      </c>
      <c r="BQ44" s="59">
        <f t="shared" si="61"/>
        <v>0</v>
      </c>
      <c r="BR44" s="59">
        <f t="shared" si="96"/>
        <v>0</v>
      </c>
      <c r="BS44" s="59">
        <f t="shared" si="62"/>
        <v>0</v>
      </c>
      <c r="BT44" s="59">
        <f t="shared" si="97"/>
        <v>0</v>
      </c>
      <c r="BU44" s="59">
        <f t="shared" si="63"/>
        <v>0</v>
      </c>
      <c r="BV44" s="59">
        <f t="shared" si="98"/>
        <v>0</v>
      </c>
      <c r="BW44" s="59">
        <f t="shared" si="64"/>
        <v>0</v>
      </c>
      <c r="BX44" s="59">
        <f t="shared" si="99"/>
        <v>0</v>
      </c>
      <c r="BY44" s="59">
        <f t="shared" si="65"/>
        <v>0</v>
      </c>
      <c r="BZ44" s="59">
        <f t="shared" si="100"/>
        <v>0</v>
      </c>
      <c r="CA44" s="59">
        <v>39</v>
      </c>
      <c r="CB44" s="60">
        <v>981360</v>
      </c>
      <c r="CC44" s="60">
        <f t="shared" si="72"/>
        <v>1424</v>
      </c>
      <c r="CD44" s="61">
        <f t="shared" si="73"/>
        <v>1.4510475258824489E-3</v>
      </c>
      <c r="CE44" s="59">
        <v>41.8</v>
      </c>
      <c r="CF44" s="60">
        <v>989505</v>
      </c>
      <c r="CG44" s="60">
        <f t="shared" si="74"/>
        <v>806</v>
      </c>
      <c r="CH44" s="62">
        <f t="shared" si="75"/>
        <v>8.1454868848565695E-4</v>
      </c>
      <c r="CI44" s="59">
        <v>46.6</v>
      </c>
      <c r="CJ44" s="59">
        <v>39</v>
      </c>
      <c r="CK44" s="59">
        <v>26.88</v>
      </c>
      <c r="CL44" s="59">
        <v>33.11</v>
      </c>
      <c r="CM44" s="59"/>
      <c r="CN44" s="59"/>
      <c r="CO44" s="59"/>
      <c r="CP44" s="59"/>
      <c r="CQ44" s="59"/>
      <c r="CR44" s="59"/>
      <c r="CS44" s="59"/>
      <c r="CT44" s="59"/>
      <c r="CU44" s="59"/>
      <c r="CV44" s="59"/>
      <c r="CW44" s="59"/>
      <c r="CX44" s="59"/>
    </row>
    <row r="45" spans="1:102" s="46" customFormat="1" ht="12.75" customHeight="1" x14ac:dyDescent="0.3">
      <c r="A45" s="5"/>
      <c r="B45" s="57"/>
      <c r="C45" s="71"/>
      <c r="D45" s="71"/>
      <c r="E45" s="71"/>
      <c r="F45" s="57"/>
      <c r="G45" s="71" t="str">
        <f>G64</f>
        <v/>
      </c>
      <c r="H45" s="71"/>
      <c r="I45" s="71"/>
      <c r="J45" s="71"/>
      <c r="K45" s="71"/>
      <c r="L45" s="71"/>
      <c r="M45" s="71" t="str">
        <f>W67</f>
        <v/>
      </c>
      <c r="N45" s="71"/>
      <c r="O45" s="71"/>
      <c r="P45" s="172"/>
      <c r="Q45" s="170"/>
      <c r="R45" s="171"/>
      <c r="S45" s="156"/>
      <c r="T45" s="170"/>
      <c r="U45" s="171"/>
      <c r="V45" s="156"/>
      <c r="W45" s="170"/>
      <c r="X45" s="157"/>
      <c r="Y45" s="157"/>
      <c r="Z45" s="2"/>
      <c r="AA45" s="2"/>
      <c r="AB45" s="2" t="s">
        <v>42</v>
      </c>
      <c r="AC45" s="2"/>
      <c r="AD45" s="2"/>
      <c r="AE45" s="2"/>
      <c r="AF45" s="2"/>
      <c r="AG45" s="2" t="str">
        <f ca="1">+IF(ISERR(AG44+AH44)=TRUE,"A","B")</f>
        <v>B</v>
      </c>
      <c r="AH45" s="2"/>
      <c r="AI45" s="2"/>
      <c r="AJ45" s="2"/>
      <c r="AK45" s="2">
        <f t="shared" si="45"/>
        <v>0</v>
      </c>
      <c r="AL45" s="2">
        <f t="shared" si="80"/>
        <v>0</v>
      </c>
      <c r="AM45" s="2">
        <f t="shared" si="46"/>
        <v>0</v>
      </c>
      <c r="AN45" s="2">
        <f t="shared" si="81"/>
        <v>0</v>
      </c>
      <c r="AO45" s="2">
        <f t="shared" si="47"/>
        <v>0</v>
      </c>
      <c r="AP45" s="2">
        <f t="shared" si="82"/>
        <v>0</v>
      </c>
      <c r="AQ45" s="2">
        <f t="shared" si="48"/>
        <v>0</v>
      </c>
      <c r="AR45" s="2">
        <f t="shared" si="83"/>
        <v>0</v>
      </c>
      <c r="AS45" s="2">
        <f t="shared" si="49"/>
        <v>0</v>
      </c>
      <c r="AT45" s="2">
        <f t="shared" si="84"/>
        <v>0</v>
      </c>
      <c r="AU45" s="2">
        <f t="shared" si="50"/>
        <v>0</v>
      </c>
      <c r="AV45" s="2">
        <f t="shared" si="85"/>
        <v>0</v>
      </c>
      <c r="AW45" s="2">
        <f t="shared" si="51"/>
        <v>0</v>
      </c>
      <c r="AX45" s="2">
        <f t="shared" si="86"/>
        <v>0</v>
      </c>
      <c r="AY45" s="2">
        <f t="shared" si="52"/>
        <v>0</v>
      </c>
      <c r="AZ45" s="2">
        <f t="shared" si="87"/>
        <v>0</v>
      </c>
      <c r="BA45" s="2">
        <f t="shared" si="53"/>
        <v>0</v>
      </c>
      <c r="BB45" s="2">
        <f t="shared" si="88"/>
        <v>0</v>
      </c>
      <c r="BC45" s="2">
        <f t="shared" si="54"/>
        <v>0</v>
      </c>
      <c r="BD45" s="2">
        <f t="shared" si="89"/>
        <v>0</v>
      </c>
      <c r="BE45" s="2">
        <f t="shared" si="55"/>
        <v>0</v>
      </c>
      <c r="BF45" s="2">
        <f t="shared" si="90"/>
        <v>0</v>
      </c>
      <c r="BG45" s="2">
        <f t="shared" si="56"/>
        <v>0</v>
      </c>
      <c r="BH45" s="2">
        <f t="shared" si="91"/>
        <v>0</v>
      </c>
      <c r="BI45" s="2">
        <f t="shared" si="57"/>
        <v>0</v>
      </c>
      <c r="BJ45" s="2">
        <f t="shared" si="92"/>
        <v>0</v>
      </c>
      <c r="BK45" s="2">
        <f t="shared" si="58"/>
        <v>0</v>
      </c>
      <c r="BL45" s="2">
        <f t="shared" si="93"/>
        <v>0</v>
      </c>
      <c r="BM45" s="2">
        <f t="shared" si="59"/>
        <v>0</v>
      </c>
      <c r="BN45" s="59">
        <f t="shared" si="94"/>
        <v>0</v>
      </c>
      <c r="BO45" s="59">
        <f t="shared" si="60"/>
        <v>0</v>
      </c>
      <c r="BP45" s="59">
        <f t="shared" si="95"/>
        <v>0</v>
      </c>
      <c r="BQ45" s="59">
        <f t="shared" si="61"/>
        <v>0</v>
      </c>
      <c r="BR45" s="59">
        <f t="shared" si="96"/>
        <v>0</v>
      </c>
      <c r="BS45" s="59">
        <f t="shared" si="62"/>
        <v>0</v>
      </c>
      <c r="BT45" s="59">
        <f t="shared" si="97"/>
        <v>0</v>
      </c>
      <c r="BU45" s="59">
        <f t="shared" si="63"/>
        <v>0</v>
      </c>
      <c r="BV45" s="59">
        <f t="shared" si="98"/>
        <v>0</v>
      </c>
      <c r="BW45" s="59">
        <f t="shared" si="64"/>
        <v>0</v>
      </c>
      <c r="BX45" s="59">
        <f t="shared" si="99"/>
        <v>0</v>
      </c>
      <c r="BY45" s="59">
        <f t="shared" si="65"/>
        <v>0</v>
      </c>
      <c r="BZ45" s="59">
        <f t="shared" si="100"/>
        <v>0</v>
      </c>
      <c r="CA45" s="59">
        <v>40</v>
      </c>
      <c r="CB45" s="60">
        <v>979936</v>
      </c>
      <c r="CC45" s="60">
        <f t="shared" si="72"/>
        <v>1525</v>
      </c>
      <c r="CD45" s="61">
        <f t="shared" si="73"/>
        <v>1.5562240799399144E-3</v>
      </c>
      <c r="CE45" s="59">
        <v>40.799999999999997</v>
      </c>
      <c r="CF45" s="60">
        <v>988699</v>
      </c>
      <c r="CG45" s="60">
        <f t="shared" si="74"/>
        <v>863</v>
      </c>
      <c r="CH45" s="62">
        <f t="shared" si="75"/>
        <v>8.7286423876225226E-4</v>
      </c>
      <c r="CI45" s="59">
        <v>45.7</v>
      </c>
      <c r="CJ45" s="59">
        <v>40</v>
      </c>
      <c r="CK45" s="59">
        <v>26.37</v>
      </c>
      <c r="CL45" s="59">
        <v>32.47</v>
      </c>
      <c r="CM45" s="59"/>
      <c r="CN45" s="59"/>
      <c r="CO45" s="59"/>
      <c r="CP45" s="59"/>
      <c r="CQ45" s="59"/>
      <c r="CR45" s="59"/>
      <c r="CS45" s="59"/>
      <c r="CT45" s="59"/>
      <c r="CU45" s="59"/>
      <c r="CV45" s="59"/>
      <c r="CW45" s="59"/>
      <c r="CX45" s="59"/>
    </row>
    <row r="46" spans="1:102" s="46" customFormat="1" ht="12.75" customHeight="1" x14ac:dyDescent="0.3">
      <c r="A46" s="84"/>
      <c r="B46" s="58"/>
      <c r="C46" s="65"/>
      <c r="D46" s="65"/>
      <c r="E46" s="65"/>
      <c r="F46" s="58"/>
      <c r="G46" s="65"/>
      <c r="H46" s="65"/>
      <c r="I46" s="65"/>
      <c r="J46" s="65"/>
      <c r="K46" s="65"/>
      <c r="L46" s="65"/>
      <c r="M46" s="65" t="str">
        <f>W68</f>
        <v/>
      </c>
      <c r="N46" s="65"/>
      <c r="O46" s="65"/>
      <c r="P46" s="173"/>
      <c r="Q46" s="174" t="str">
        <f ca="1">Q162</f>
        <v/>
      </c>
      <c r="R46" s="175" t="str">
        <f ca="1">+AE119</f>
        <v/>
      </c>
      <c r="S46" s="157"/>
      <c r="T46" s="174" t="str">
        <f ca="1">R162</f>
        <v/>
      </c>
      <c r="U46" s="175" t="str">
        <f ca="1">+S162</f>
        <v/>
      </c>
      <c r="V46" s="157"/>
      <c r="W46" s="174" t="str">
        <f ca="1">+T162</f>
        <v/>
      </c>
      <c r="X46" s="157"/>
      <c r="Y46" s="157"/>
      <c r="Z46" s="2"/>
      <c r="AA46" s="2"/>
      <c r="AB46" s="2" t="s">
        <v>10</v>
      </c>
      <c r="AC46" s="2"/>
      <c r="AD46" s="2"/>
      <c r="AE46" s="2"/>
      <c r="AF46" s="2" t="e">
        <f t="shared" ref="AF46:AF65" ca="1" si="104">+AJ20+Q78</f>
        <v>#REF!</v>
      </c>
      <c r="AG46" s="2"/>
      <c r="AH46" s="2"/>
      <c r="AI46" s="2"/>
      <c r="AJ46" s="2"/>
      <c r="AK46" s="2">
        <f t="shared" si="45"/>
        <v>0</v>
      </c>
      <c r="AL46" s="2">
        <f t="shared" si="80"/>
        <v>0</v>
      </c>
      <c r="AM46" s="2">
        <f t="shared" si="46"/>
        <v>0</v>
      </c>
      <c r="AN46" s="2">
        <f t="shared" si="81"/>
        <v>0</v>
      </c>
      <c r="AO46" s="2">
        <f t="shared" si="47"/>
        <v>0</v>
      </c>
      <c r="AP46" s="2">
        <f t="shared" si="82"/>
        <v>0</v>
      </c>
      <c r="AQ46" s="2">
        <f t="shared" si="48"/>
        <v>0</v>
      </c>
      <c r="AR46" s="2">
        <f t="shared" si="83"/>
        <v>0</v>
      </c>
      <c r="AS46" s="2">
        <f t="shared" si="49"/>
        <v>0</v>
      </c>
      <c r="AT46" s="2">
        <f t="shared" si="84"/>
        <v>0</v>
      </c>
      <c r="AU46" s="2">
        <f t="shared" si="50"/>
        <v>0</v>
      </c>
      <c r="AV46" s="2">
        <f t="shared" si="85"/>
        <v>0</v>
      </c>
      <c r="AW46" s="2">
        <f t="shared" si="51"/>
        <v>0</v>
      </c>
      <c r="AX46" s="2">
        <f t="shared" si="86"/>
        <v>0</v>
      </c>
      <c r="AY46" s="2">
        <f t="shared" si="52"/>
        <v>0</v>
      </c>
      <c r="AZ46" s="2">
        <f t="shared" si="87"/>
        <v>0</v>
      </c>
      <c r="BA46" s="2">
        <f t="shared" si="53"/>
        <v>0</v>
      </c>
      <c r="BB46" s="2">
        <f t="shared" si="88"/>
        <v>0</v>
      </c>
      <c r="BC46" s="2">
        <f t="shared" si="54"/>
        <v>0</v>
      </c>
      <c r="BD46" s="2">
        <f t="shared" si="89"/>
        <v>0</v>
      </c>
      <c r="BE46" s="2">
        <f t="shared" si="55"/>
        <v>0</v>
      </c>
      <c r="BF46" s="2">
        <f t="shared" si="90"/>
        <v>0</v>
      </c>
      <c r="BG46" s="2">
        <f t="shared" si="56"/>
        <v>0</v>
      </c>
      <c r="BH46" s="2">
        <f t="shared" si="91"/>
        <v>0</v>
      </c>
      <c r="BI46" s="2">
        <f t="shared" si="57"/>
        <v>0</v>
      </c>
      <c r="BJ46" s="2">
        <f t="shared" si="92"/>
        <v>0</v>
      </c>
      <c r="BK46" s="2">
        <f t="shared" si="58"/>
        <v>0</v>
      </c>
      <c r="BL46" s="2">
        <f t="shared" si="93"/>
        <v>0</v>
      </c>
      <c r="BM46" s="2">
        <f t="shared" si="59"/>
        <v>0</v>
      </c>
      <c r="BN46" s="59">
        <f t="shared" si="94"/>
        <v>0</v>
      </c>
      <c r="BO46" s="59">
        <f t="shared" si="60"/>
        <v>0</v>
      </c>
      <c r="BP46" s="59">
        <f t="shared" si="95"/>
        <v>0</v>
      </c>
      <c r="BQ46" s="59">
        <f t="shared" si="61"/>
        <v>0</v>
      </c>
      <c r="BR46" s="59">
        <f t="shared" si="96"/>
        <v>0</v>
      </c>
      <c r="BS46" s="59">
        <f t="shared" si="62"/>
        <v>0</v>
      </c>
      <c r="BT46" s="59">
        <f t="shared" si="97"/>
        <v>0</v>
      </c>
      <c r="BU46" s="59">
        <f t="shared" si="63"/>
        <v>0</v>
      </c>
      <c r="BV46" s="59">
        <f t="shared" si="98"/>
        <v>0</v>
      </c>
      <c r="BW46" s="59">
        <f t="shared" si="64"/>
        <v>0</v>
      </c>
      <c r="BX46" s="59">
        <f t="shared" si="99"/>
        <v>0</v>
      </c>
      <c r="BY46" s="59">
        <f t="shared" si="65"/>
        <v>0</v>
      </c>
      <c r="BZ46" s="59">
        <f t="shared" si="100"/>
        <v>0</v>
      </c>
      <c r="CA46" s="59">
        <v>41</v>
      </c>
      <c r="CB46" s="60">
        <v>978411</v>
      </c>
      <c r="CC46" s="60">
        <f t="shared" si="72"/>
        <v>1635</v>
      </c>
      <c r="CD46" s="61">
        <f t="shared" si="73"/>
        <v>1.6710768787350102E-3</v>
      </c>
      <c r="CE46" s="59">
        <v>39.9</v>
      </c>
      <c r="CF46" s="60">
        <v>987836</v>
      </c>
      <c r="CG46" s="60">
        <f t="shared" si="74"/>
        <v>926</v>
      </c>
      <c r="CH46" s="62">
        <f t="shared" si="75"/>
        <v>9.3740256479820532E-4</v>
      </c>
      <c r="CI46" s="59">
        <v>44.7</v>
      </c>
      <c r="CJ46" s="59">
        <v>41</v>
      </c>
      <c r="CK46" s="59">
        <v>25.86</v>
      </c>
      <c r="CL46" s="59">
        <v>31.83</v>
      </c>
      <c r="CM46" s="59"/>
      <c r="CN46" s="59"/>
      <c r="CO46" s="59"/>
      <c r="CP46" s="59"/>
      <c r="CQ46" s="59"/>
      <c r="CR46" s="59"/>
      <c r="CS46" s="59"/>
      <c r="CT46" s="59"/>
      <c r="CU46" s="59"/>
      <c r="CV46" s="59"/>
      <c r="CW46" s="59"/>
      <c r="CX46" s="59"/>
    </row>
    <row r="47" spans="1:102" s="46" customFormat="1" ht="12.75" customHeight="1" x14ac:dyDescent="0.3">
      <c r="A47" s="84"/>
      <c r="B47" s="58"/>
      <c r="C47" s="65"/>
      <c r="D47" s="65"/>
      <c r="E47" s="65"/>
      <c r="F47" s="58"/>
      <c r="G47" s="65"/>
      <c r="H47" s="65"/>
      <c r="I47" s="65"/>
      <c r="J47" s="65"/>
      <c r="K47" s="65"/>
      <c r="L47" s="65"/>
      <c r="M47" s="65" t="str">
        <f>W69</f>
        <v/>
      </c>
      <c r="N47" s="65"/>
      <c r="O47" s="65"/>
      <c r="P47" s="173"/>
      <c r="Q47" s="157"/>
      <c r="R47" s="157"/>
      <c r="S47" s="157"/>
      <c r="T47" s="157"/>
      <c r="U47" s="157"/>
      <c r="V47" s="157"/>
      <c r="W47" s="157"/>
      <c r="X47" s="157"/>
      <c r="Y47" s="157"/>
      <c r="Z47" s="2"/>
      <c r="AA47" s="2"/>
      <c r="AB47" s="2"/>
      <c r="AC47" s="2"/>
      <c r="AD47" s="2"/>
      <c r="AE47" s="2"/>
      <c r="AF47" s="2" t="e">
        <f t="shared" ca="1" si="104"/>
        <v>#REF!</v>
      </c>
      <c r="AG47" s="2"/>
      <c r="AH47" s="2"/>
      <c r="AI47" s="2"/>
      <c r="AJ47" s="2"/>
      <c r="AK47" s="2">
        <f t="shared" si="45"/>
        <v>0</v>
      </c>
      <c r="AL47" s="2">
        <f t="shared" si="80"/>
        <v>0</v>
      </c>
      <c r="AM47" s="2">
        <f t="shared" si="46"/>
        <v>0</v>
      </c>
      <c r="AN47" s="2">
        <f t="shared" si="81"/>
        <v>0</v>
      </c>
      <c r="AO47" s="2">
        <f t="shared" si="47"/>
        <v>0</v>
      </c>
      <c r="AP47" s="2">
        <f t="shared" si="82"/>
        <v>0</v>
      </c>
      <c r="AQ47" s="2">
        <f t="shared" si="48"/>
        <v>0</v>
      </c>
      <c r="AR47" s="2">
        <f t="shared" si="83"/>
        <v>0</v>
      </c>
      <c r="AS47" s="2">
        <f t="shared" si="49"/>
        <v>0</v>
      </c>
      <c r="AT47" s="2">
        <f t="shared" si="84"/>
        <v>0</v>
      </c>
      <c r="AU47" s="2">
        <f t="shared" si="50"/>
        <v>0</v>
      </c>
      <c r="AV47" s="2">
        <f t="shared" si="85"/>
        <v>0</v>
      </c>
      <c r="AW47" s="2">
        <f t="shared" si="51"/>
        <v>0</v>
      </c>
      <c r="AX47" s="2">
        <f t="shared" si="86"/>
        <v>0</v>
      </c>
      <c r="AY47" s="2">
        <f t="shared" si="52"/>
        <v>0</v>
      </c>
      <c r="AZ47" s="2">
        <f t="shared" si="87"/>
        <v>0</v>
      </c>
      <c r="BA47" s="2">
        <f t="shared" si="53"/>
        <v>0</v>
      </c>
      <c r="BB47" s="2">
        <f t="shared" si="88"/>
        <v>0</v>
      </c>
      <c r="BC47" s="2">
        <f t="shared" si="54"/>
        <v>0</v>
      </c>
      <c r="BD47" s="2">
        <f t="shared" si="89"/>
        <v>0</v>
      </c>
      <c r="BE47" s="2">
        <f t="shared" si="55"/>
        <v>0</v>
      </c>
      <c r="BF47" s="2">
        <f t="shared" si="90"/>
        <v>0</v>
      </c>
      <c r="BG47" s="2">
        <f t="shared" si="56"/>
        <v>0</v>
      </c>
      <c r="BH47" s="2">
        <f t="shared" si="91"/>
        <v>0</v>
      </c>
      <c r="BI47" s="2">
        <f t="shared" si="57"/>
        <v>0</v>
      </c>
      <c r="BJ47" s="2">
        <f t="shared" si="92"/>
        <v>0</v>
      </c>
      <c r="BK47" s="2">
        <f t="shared" si="58"/>
        <v>0</v>
      </c>
      <c r="BL47" s="2">
        <f t="shared" si="93"/>
        <v>0</v>
      </c>
      <c r="BM47" s="2">
        <f t="shared" si="59"/>
        <v>0</v>
      </c>
      <c r="BN47" s="59">
        <f t="shared" si="94"/>
        <v>0</v>
      </c>
      <c r="BO47" s="59">
        <f t="shared" si="60"/>
        <v>0</v>
      </c>
      <c r="BP47" s="59">
        <f t="shared" si="95"/>
        <v>0</v>
      </c>
      <c r="BQ47" s="59">
        <f t="shared" si="61"/>
        <v>0</v>
      </c>
      <c r="BR47" s="59">
        <f t="shared" si="96"/>
        <v>0</v>
      </c>
      <c r="BS47" s="59">
        <f t="shared" si="62"/>
        <v>0</v>
      </c>
      <c r="BT47" s="59">
        <f t="shared" si="97"/>
        <v>0</v>
      </c>
      <c r="BU47" s="59">
        <f t="shared" si="63"/>
        <v>0</v>
      </c>
      <c r="BV47" s="59">
        <f t="shared" si="98"/>
        <v>0</v>
      </c>
      <c r="BW47" s="59">
        <f t="shared" si="64"/>
        <v>0</v>
      </c>
      <c r="BX47" s="59">
        <f t="shared" si="99"/>
        <v>0</v>
      </c>
      <c r="BY47" s="59">
        <f t="shared" si="65"/>
        <v>0</v>
      </c>
      <c r="BZ47" s="59">
        <f t="shared" si="100"/>
        <v>0</v>
      </c>
      <c r="CA47" s="59">
        <v>42</v>
      </c>
      <c r="CB47" s="60">
        <v>976776</v>
      </c>
      <c r="CC47" s="60">
        <f t="shared" si="72"/>
        <v>1755</v>
      </c>
      <c r="CD47" s="61">
        <f t="shared" si="73"/>
        <v>1.7967271923143074E-3</v>
      </c>
      <c r="CE47" s="59">
        <v>39</v>
      </c>
      <c r="CF47" s="60">
        <v>986910</v>
      </c>
      <c r="CG47" s="60">
        <f t="shared" si="74"/>
        <v>994</v>
      </c>
      <c r="CH47" s="62">
        <f t="shared" si="75"/>
        <v>1.0071840390714452E-3</v>
      </c>
      <c r="CI47" s="59">
        <v>43.7</v>
      </c>
      <c r="CJ47" s="59">
        <v>42</v>
      </c>
      <c r="CK47" s="59">
        <v>25.35</v>
      </c>
      <c r="CL47" s="59">
        <v>31.19</v>
      </c>
      <c r="CM47" s="59"/>
      <c r="CN47" s="59"/>
      <c r="CO47" s="59"/>
      <c r="CP47" s="59"/>
      <c r="CQ47" s="59"/>
      <c r="CR47" s="59"/>
      <c r="CS47" s="59"/>
      <c r="CT47" s="59"/>
      <c r="CU47" s="59"/>
      <c r="CV47" s="59"/>
      <c r="CW47" s="59"/>
      <c r="CX47" s="59"/>
    </row>
    <row r="48" spans="1:102" s="46" customFormat="1" ht="12.75" customHeight="1" x14ac:dyDescent="0.3">
      <c r="A48" s="84"/>
      <c r="B48" s="58"/>
      <c r="C48" s="65"/>
      <c r="D48" s="65"/>
      <c r="E48" s="65"/>
      <c r="F48" s="58"/>
      <c r="G48" s="65"/>
      <c r="H48" s="65"/>
      <c r="I48" s="65"/>
      <c r="J48" s="65"/>
      <c r="K48" s="65"/>
      <c r="L48" s="65"/>
      <c r="M48" s="65" t="str">
        <f>W70</f>
        <v/>
      </c>
      <c r="N48" s="65"/>
      <c r="O48" s="65"/>
      <c r="P48" s="173"/>
      <c r="Q48" s="173"/>
      <c r="R48" s="173"/>
      <c r="S48" s="173"/>
      <c r="T48" s="173"/>
      <c r="U48" s="173"/>
      <c r="V48" s="173"/>
      <c r="W48" s="173"/>
      <c r="X48" s="157"/>
      <c r="Y48" s="157"/>
      <c r="Z48" s="2"/>
      <c r="AA48" s="2"/>
      <c r="AB48" s="2"/>
      <c r="AC48" s="2"/>
      <c r="AD48" s="2"/>
      <c r="AE48" s="2"/>
      <c r="AF48" s="2" t="e">
        <f t="shared" ca="1" si="104"/>
        <v>#REF!</v>
      </c>
      <c r="AG48" s="2"/>
      <c r="AH48" s="2"/>
      <c r="AI48" s="2"/>
      <c r="AJ48" s="2"/>
      <c r="AK48" s="2">
        <f t="shared" si="45"/>
        <v>0</v>
      </c>
      <c r="AL48" s="2">
        <f t="shared" si="80"/>
        <v>0</v>
      </c>
      <c r="AM48" s="2">
        <f t="shared" si="46"/>
        <v>0</v>
      </c>
      <c r="AN48" s="2">
        <f t="shared" si="81"/>
        <v>0</v>
      </c>
      <c r="AO48" s="2">
        <f t="shared" si="47"/>
        <v>0</v>
      </c>
      <c r="AP48" s="2">
        <f t="shared" si="82"/>
        <v>0</v>
      </c>
      <c r="AQ48" s="2">
        <f t="shared" si="48"/>
        <v>0</v>
      </c>
      <c r="AR48" s="2">
        <f t="shared" si="83"/>
        <v>0</v>
      </c>
      <c r="AS48" s="2">
        <f t="shared" si="49"/>
        <v>0</v>
      </c>
      <c r="AT48" s="2">
        <f t="shared" si="84"/>
        <v>0</v>
      </c>
      <c r="AU48" s="2">
        <f t="shared" si="50"/>
        <v>0</v>
      </c>
      <c r="AV48" s="2">
        <f t="shared" si="85"/>
        <v>0</v>
      </c>
      <c r="AW48" s="2">
        <f t="shared" si="51"/>
        <v>0</v>
      </c>
      <c r="AX48" s="2">
        <f t="shared" si="86"/>
        <v>0</v>
      </c>
      <c r="AY48" s="2">
        <f t="shared" si="52"/>
        <v>0</v>
      </c>
      <c r="AZ48" s="2">
        <f t="shared" si="87"/>
        <v>0</v>
      </c>
      <c r="BA48" s="2">
        <f t="shared" si="53"/>
        <v>0</v>
      </c>
      <c r="BB48" s="2">
        <f t="shared" si="88"/>
        <v>0</v>
      </c>
      <c r="BC48" s="2">
        <f t="shared" si="54"/>
        <v>0</v>
      </c>
      <c r="BD48" s="2">
        <f t="shared" si="89"/>
        <v>0</v>
      </c>
      <c r="BE48" s="2">
        <f t="shared" si="55"/>
        <v>0</v>
      </c>
      <c r="BF48" s="2">
        <f t="shared" si="90"/>
        <v>0</v>
      </c>
      <c r="BG48" s="2">
        <f t="shared" si="56"/>
        <v>0</v>
      </c>
      <c r="BH48" s="2">
        <f t="shared" si="91"/>
        <v>0</v>
      </c>
      <c r="BI48" s="2">
        <f t="shared" si="57"/>
        <v>0</v>
      </c>
      <c r="BJ48" s="2">
        <f t="shared" si="92"/>
        <v>0</v>
      </c>
      <c r="BK48" s="2">
        <f t="shared" si="58"/>
        <v>0</v>
      </c>
      <c r="BL48" s="2">
        <f t="shared" si="93"/>
        <v>0</v>
      </c>
      <c r="BM48" s="2">
        <f t="shared" si="59"/>
        <v>0</v>
      </c>
      <c r="BN48" s="59">
        <f t="shared" si="94"/>
        <v>0</v>
      </c>
      <c r="BO48" s="59">
        <f t="shared" si="60"/>
        <v>0</v>
      </c>
      <c r="BP48" s="59">
        <f t="shared" si="95"/>
        <v>0</v>
      </c>
      <c r="BQ48" s="59">
        <f t="shared" si="61"/>
        <v>0</v>
      </c>
      <c r="BR48" s="59">
        <f t="shared" si="96"/>
        <v>0</v>
      </c>
      <c r="BS48" s="59">
        <f t="shared" si="62"/>
        <v>0</v>
      </c>
      <c r="BT48" s="59">
        <f t="shared" si="97"/>
        <v>0</v>
      </c>
      <c r="BU48" s="59">
        <f t="shared" si="63"/>
        <v>0</v>
      </c>
      <c r="BV48" s="59">
        <f t="shared" si="98"/>
        <v>0</v>
      </c>
      <c r="BW48" s="59">
        <f t="shared" si="64"/>
        <v>0</v>
      </c>
      <c r="BX48" s="59">
        <f t="shared" si="99"/>
        <v>0</v>
      </c>
      <c r="BY48" s="59">
        <f t="shared" si="65"/>
        <v>0</v>
      </c>
      <c r="BZ48" s="59">
        <f t="shared" si="100"/>
        <v>0</v>
      </c>
      <c r="CA48" s="59">
        <v>43</v>
      </c>
      <c r="CB48" s="60">
        <v>975021</v>
      </c>
      <c r="CC48" s="60">
        <f t="shared" si="72"/>
        <v>1886</v>
      </c>
      <c r="CD48" s="61">
        <f t="shared" si="73"/>
        <v>1.9343173121399437E-3</v>
      </c>
      <c r="CE48" s="59">
        <v>38</v>
      </c>
      <c r="CF48" s="60">
        <v>985916</v>
      </c>
      <c r="CG48" s="60">
        <f t="shared" si="74"/>
        <v>1070</v>
      </c>
      <c r="CH48" s="62">
        <f t="shared" si="75"/>
        <v>1.0852851561390625E-3</v>
      </c>
      <c r="CI48" s="59">
        <v>42.8</v>
      </c>
      <c r="CJ48" s="59">
        <v>43</v>
      </c>
      <c r="CK48" s="59">
        <v>24.83</v>
      </c>
      <c r="CL48" s="59">
        <v>30.54</v>
      </c>
      <c r="CM48" s="59"/>
      <c r="CN48" s="59"/>
      <c r="CO48" s="59"/>
      <c r="CP48" s="59"/>
      <c r="CQ48" s="59"/>
      <c r="CR48" s="59"/>
      <c r="CS48" s="59"/>
      <c r="CT48" s="59"/>
      <c r="CU48" s="59"/>
      <c r="CV48" s="59"/>
      <c r="CW48" s="59"/>
      <c r="CX48" s="59"/>
    </row>
    <row r="49" spans="1:102" s="123" customFormat="1" ht="12.75" customHeight="1" x14ac:dyDescent="0.35">
      <c r="A49" s="84"/>
      <c r="B49" s="66"/>
      <c r="C49" s="65"/>
      <c r="D49" s="65"/>
      <c r="E49" s="65"/>
      <c r="F49" s="58"/>
      <c r="G49" s="65"/>
      <c r="H49" s="65"/>
      <c r="I49" s="65"/>
      <c r="J49" s="65"/>
      <c r="K49" s="65"/>
      <c r="L49" s="65"/>
      <c r="M49" s="65" t="str">
        <f>W71</f>
        <v/>
      </c>
      <c r="N49" s="65"/>
      <c r="O49" s="65"/>
      <c r="P49" s="173"/>
      <c r="Q49" s="173"/>
      <c r="R49" s="173"/>
      <c r="S49" s="173"/>
      <c r="T49" s="173"/>
      <c r="U49" s="173"/>
      <c r="V49" s="173"/>
      <c r="W49" s="173"/>
      <c r="X49" s="176"/>
      <c r="Y49" s="176"/>
      <c r="Z49" s="146"/>
      <c r="AA49" s="2"/>
      <c r="AB49" s="2">
        <f>IF(T6="SI","",1)</f>
        <v>1</v>
      </c>
      <c r="AC49" s="2"/>
      <c r="AD49" s="2"/>
      <c r="AE49" s="2"/>
      <c r="AF49" s="2" t="e">
        <f t="shared" ca="1" si="104"/>
        <v>#REF!</v>
      </c>
      <c r="AG49" s="2"/>
      <c r="AH49" s="2"/>
      <c r="AI49" s="2"/>
      <c r="AJ49" s="2"/>
      <c r="AK49" s="146">
        <f t="shared" si="45"/>
        <v>0</v>
      </c>
      <c r="AL49" s="146">
        <f t="shared" si="80"/>
        <v>0</v>
      </c>
      <c r="AM49" s="146">
        <f t="shared" si="46"/>
        <v>0</v>
      </c>
      <c r="AN49" s="146">
        <f t="shared" si="81"/>
        <v>0</v>
      </c>
      <c r="AO49" s="146">
        <f t="shared" si="47"/>
        <v>0</v>
      </c>
      <c r="AP49" s="146">
        <f t="shared" si="82"/>
        <v>0</v>
      </c>
      <c r="AQ49" s="146">
        <f t="shared" si="48"/>
        <v>0</v>
      </c>
      <c r="AR49" s="146">
        <f t="shared" si="83"/>
        <v>0</v>
      </c>
      <c r="AS49" s="146">
        <f t="shared" si="49"/>
        <v>0</v>
      </c>
      <c r="AT49" s="146">
        <f t="shared" si="84"/>
        <v>0</v>
      </c>
      <c r="AU49" s="146">
        <f t="shared" si="50"/>
        <v>0</v>
      </c>
      <c r="AV49" s="146">
        <f t="shared" si="85"/>
        <v>0</v>
      </c>
      <c r="AW49" s="146">
        <f t="shared" si="51"/>
        <v>0</v>
      </c>
      <c r="AX49" s="146">
        <f t="shared" si="86"/>
        <v>0</v>
      </c>
      <c r="AY49" s="146">
        <f t="shared" si="52"/>
        <v>0</v>
      </c>
      <c r="AZ49" s="146">
        <f t="shared" si="87"/>
        <v>0</v>
      </c>
      <c r="BA49" s="146">
        <f t="shared" si="53"/>
        <v>0</v>
      </c>
      <c r="BB49" s="146">
        <f t="shared" si="88"/>
        <v>0</v>
      </c>
      <c r="BC49" s="146">
        <f t="shared" si="54"/>
        <v>0</v>
      </c>
      <c r="BD49" s="146">
        <f t="shared" si="89"/>
        <v>0</v>
      </c>
      <c r="BE49" s="146">
        <f t="shared" si="55"/>
        <v>0</v>
      </c>
      <c r="BF49" s="146">
        <f t="shared" si="90"/>
        <v>0</v>
      </c>
      <c r="BG49" s="146">
        <f t="shared" si="56"/>
        <v>0</v>
      </c>
      <c r="BH49" s="146">
        <f t="shared" si="91"/>
        <v>0</v>
      </c>
      <c r="BI49" s="146">
        <f t="shared" si="57"/>
        <v>0</v>
      </c>
      <c r="BJ49" s="146">
        <f t="shared" si="92"/>
        <v>0</v>
      </c>
      <c r="BK49" s="146">
        <f t="shared" si="58"/>
        <v>0</v>
      </c>
      <c r="BL49" s="146">
        <f t="shared" si="93"/>
        <v>0</v>
      </c>
      <c r="BM49" s="146">
        <f t="shared" si="59"/>
        <v>0</v>
      </c>
      <c r="BN49" s="67">
        <f t="shared" si="94"/>
        <v>0</v>
      </c>
      <c r="BO49" s="67">
        <f t="shared" si="60"/>
        <v>0</v>
      </c>
      <c r="BP49" s="67">
        <f t="shared" si="95"/>
        <v>0</v>
      </c>
      <c r="BQ49" s="67">
        <f t="shared" si="61"/>
        <v>0</v>
      </c>
      <c r="BR49" s="67">
        <f t="shared" si="96"/>
        <v>0</v>
      </c>
      <c r="BS49" s="67">
        <f t="shared" si="62"/>
        <v>0</v>
      </c>
      <c r="BT49" s="67">
        <f t="shared" si="97"/>
        <v>0</v>
      </c>
      <c r="BU49" s="67">
        <f t="shared" si="63"/>
        <v>0</v>
      </c>
      <c r="BV49" s="67">
        <f t="shared" si="98"/>
        <v>0</v>
      </c>
      <c r="BW49" s="67">
        <f t="shared" si="64"/>
        <v>0</v>
      </c>
      <c r="BX49" s="67">
        <f t="shared" si="99"/>
        <v>0</v>
      </c>
      <c r="BY49" s="67">
        <f t="shared" si="65"/>
        <v>0</v>
      </c>
      <c r="BZ49" s="67">
        <f t="shared" si="100"/>
        <v>0</v>
      </c>
      <c r="CA49" s="67">
        <v>44</v>
      </c>
      <c r="CB49" s="68">
        <v>973135</v>
      </c>
      <c r="CC49" s="68">
        <f t="shared" si="72"/>
        <v>2030</v>
      </c>
      <c r="CD49" s="69">
        <f t="shared" si="73"/>
        <v>2.0860415050327034E-3</v>
      </c>
      <c r="CE49" s="67">
        <v>37.1</v>
      </c>
      <c r="CF49" s="68">
        <v>984846</v>
      </c>
      <c r="CG49" s="68">
        <f t="shared" si="74"/>
        <v>1152</v>
      </c>
      <c r="CH49" s="70">
        <f t="shared" si="75"/>
        <v>1.1697260282318251E-3</v>
      </c>
      <c r="CI49" s="67">
        <v>41.8</v>
      </c>
      <c r="CJ49" s="67">
        <v>44</v>
      </c>
      <c r="CK49" s="67">
        <v>24.31</v>
      </c>
      <c r="CL49" s="67">
        <v>29.9</v>
      </c>
      <c r="CM49" s="67"/>
      <c r="CN49" s="67"/>
      <c r="CO49" s="67"/>
      <c r="CP49" s="67"/>
      <c r="CQ49" s="67"/>
      <c r="CR49" s="67"/>
      <c r="CS49" s="67"/>
      <c r="CT49" s="67"/>
      <c r="CU49" s="67"/>
      <c r="CV49" s="67"/>
      <c r="CW49" s="67"/>
      <c r="CX49" s="67"/>
    </row>
    <row r="50" spans="1:102" s="123" customFormat="1" ht="3.75" customHeight="1" x14ac:dyDescent="0.35">
      <c r="A50" s="84"/>
      <c r="B50" s="66"/>
      <c r="C50" s="66"/>
      <c r="D50" s="66"/>
      <c r="E50" s="66"/>
      <c r="F50" s="66"/>
      <c r="G50" s="66"/>
      <c r="H50" s="66"/>
      <c r="I50" s="66"/>
      <c r="J50" s="66"/>
      <c r="K50" s="66"/>
      <c r="L50" s="66"/>
      <c r="M50" s="66"/>
      <c r="N50" s="66"/>
      <c r="O50" s="66"/>
      <c r="P50" s="176"/>
      <c r="Q50" s="173"/>
      <c r="R50" s="173"/>
      <c r="S50" s="173"/>
      <c r="T50" s="173"/>
      <c r="U50" s="173"/>
      <c r="V50" s="173"/>
      <c r="W50" s="177"/>
      <c r="X50" s="176"/>
      <c r="Y50" s="176"/>
      <c r="Z50" s="146"/>
      <c r="AA50" s="2"/>
      <c r="AB50" s="2" t="s">
        <v>121</v>
      </c>
      <c r="AC50" s="2"/>
      <c r="AD50" s="2"/>
      <c r="AE50" s="2"/>
      <c r="AF50" s="2" t="e">
        <f t="shared" ca="1" si="104"/>
        <v>#REF!</v>
      </c>
      <c r="AG50" s="2"/>
      <c r="AH50" s="2"/>
      <c r="AI50" s="2"/>
      <c r="AJ50" s="2"/>
      <c r="AK50" s="146">
        <f t="shared" ref="AK50:AK81" si="105">IF(AL50=1,IF($H$37="M",CI50,IF($H$37="H",CE50,IF($H$37="H Invalido",CK50,IF($H$37="M Invalida",CL50,0)))),0)</f>
        <v>0</v>
      </c>
      <c r="AL50" s="146">
        <f t="shared" si="80"/>
        <v>0</v>
      </c>
      <c r="AM50" s="146">
        <f t="shared" ref="AM50:AM81" si="106">IF(AN50=1,IF($H$36="M",CI50,IF($H$36="H",CE50,IF($H$36="H Invalido",CK50,IF($H$36="M Invalida",CL50,0)))),0)</f>
        <v>0</v>
      </c>
      <c r="AN50" s="146">
        <f t="shared" si="81"/>
        <v>0</v>
      </c>
      <c r="AO50" s="146">
        <f t="shared" ref="AO50:AO81" si="107">IF(AP50=1,IF($H$35="M",CI50,IF($H$35="H",CE50,IF($H$35="H Invalido",CK50,IF($H$35="M Invalida",CL50,0)))),0)</f>
        <v>0</v>
      </c>
      <c r="AP50" s="146">
        <f t="shared" si="82"/>
        <v>0</v>
      </c>
      <c r="AQ50" s="146">
        <f t="shared" ref="AQ50:AQ81" si="108">IF(AR50=1,IF($H$34="M",CI50,IF($H$34="H",CE50,IF($H$34="H Invalido",CK50,IF($H$34="M Invalida",CL50,0)))),0)</f>
        <v>0</v>
      </c>
      <c r="AR50" s="146">
        <f t="shared" si="83"/>
        <v>0</v>
      </c>
      <c r="AS50" s="146">
        <f t="shared" ref="AS50:AS81" si="109">IF(AT50=1,IF($H$33="M",CI50,IF($H$33="H",CE50,IF($H$33="H Invalido",CK50,IF($H$33="M Invalida",CL50,0)))),0)</f>
        <v>0</v>
      </c>
      <c r="AT50" s="146">
        <f t="shared" si="84"/>
        <v>0</v>
      </c>
      <c r="AU50" s="146">
        <f t="shared" ref="AU50:AU81" si="110">IF(AV50=1,IF($H$32="M",CI50,IF($H$32="H",CE50,IF($H$32="H Invalido",CK50,IF($H$32="M Invalida",CL50,0)))),0)</f>
        <v>0</v>
      </c>
      <c r="AV50" s="146">
        <f t="shared" si="85"/>
        <v>0</v>
      </c>
      <c r="AW50" s="146">
        <f t="shared" ref="AW50:AW81" si="111">IF(AX50=1,IF($H$31="M",CI50,IF($H$31="H",CE50,IF($H$31="H Invalido",CK50,IF($H$31="M Invalida",CL50,0)))),0)</f>
        <v>0</v>
      </c>
      <c r="AX50" s="146">
        <f t="shared" si="86"/>
        <v>0</v>
      </c>
      <c r="AY50" s="146">
        <f t="shared" ref="AY50:AY81" si="112">IF(AZ50=1,IF($H$30="M",CI50,IF($H$30="H",CE50,IF($H$30="H Invalido",CK50,IF($H$30="M Invalida",CL50,0)))),0)</f>
        <v>0</v>
      </c>
      <c r="AZ50" s="146">
        <f t="shared" si="87"/>
        <v>0</v>
      </c>
      <c r="BA50" s="146">
        <f t="shared" ref="BA50:BA81" si="113">IF(BB50=1,IF($H$29="M",CI50,IF($H$29="H",CE50,IF($H$29="H Invalido",CK50,IF($H$29="M Invalida",CL50,0)))),0)</f>
        <v>0</v>
      </c>
      <c r="BB50" s="146">
        <f t="shared" si="88"/>
        <v>0</v>
      </c>
      <c r="BC50" s="146">
        <f t="shared" ref="BC50:BC81" si="114">IF(BD50=1,IF($H$28="M",CI50,IF($H$28="H",CE50,IF($H$28="H Invalido",CK50,IF($H$28="M Invalida",CL50,0)))),0)</f>
        <v>0</v>
      </c>
      <c r="BD50" s="146">
        <f t="shared" si="89"/>
        <v>0</v>
      </c>
      <c r="BE50" s="146">
        <f t="shared" ref="BE50:BE81" si="115">IF(BF50=1,IF($H$27="M",CI50,IF($H$27="H",CE50,IF($H$27="H Invalido",CK50,IF($H$27="M Invalida",CL50,0)))),0)</f>
        <v>0</v>
      </c>
      <c r="BF50" s="146">
        <f t="shared" si="90"/>
        <v>0</v>
      </c>
      <c r="BG50" s="146">
        <f t="shared" ref="BG50:BG81" si="116">IF(BH50=1,IF($H$26="M",CI50,IF($H$26="H",CE50,IF($H$26="H Invalido",CK50,IF($H$26="M Invalida",CL50,0)))),0)</f>
        <v>0</v>
      </c>
      <c r="BH50" s="146">
        <f t="shared" si="91"/>
        <v>0</v>
      </c>
      <c r="BI50" s="146">
        <f t="shared" ref="BI50:BI81" si="117">IF(BJ50=1,IF($H$25="M",CI50,IF($H$25="H",CE50,IF($H$25="H Invalido",CK50,IF($H$25="M Invalida",CL50,0)))),0)</f>
        <v>0</v>
      </c>
      <c r="BJ50" s="146">
        <f t="shared" si="92"/>
        <v>0</v>
      </c>
      <c r="BK50" s="146">
        <f t="shared" ref="BK50:BK81" si="118">IF(BL50=1,IF($H$24="M",CI50,IF($H$24="H",CE50,IF($H$24="H Invalido",CK50,IF($H$24="M Invalida",CL50,0)))),0)</f>
        <v>0</v>
      </c>
      <c r="BL50" s="146">
        <f t="shared" si="93"/>
        <v>0</v>
      </c>
      <c r="BM50" s="146">
        <f t="shared" ref="BM50:BM81" si="119">IF(BN50=1,IF($H$23="M",CI50,IF($H$23="H",CE50,IF($H$23="H Invalido",CK50,IF($H$23="M Invalida",CL50,0)))),0)</f>
        <v>0</v>
      </c>
      <c r="BN50" s="67">
        <f t="shared" si="94"/>
        <v>0</v>
      </c>
      <c r="BO50" s="67">
        <f t="shared" ref="BO50:BO81" si="120">IF(BP50=1,IF($H$22="M",CI50,IF($H$22="H",CE50,IF($H$22="H Invalido",CK50,IF($H$22="M Invalida",CL50,0)))),0)</f>
        <v>0</v>
      </c>
      <c r="BP50" s="67">
        <f t="shared" si="95"/>
        <v>0</v>
      </c>
      <c r="BQ50" s="67">
        <f t="shared" ref="BQ50:BQ81" si="121">IF(BR50=1,IF($H$21="M",CI50,IF($H$21="H",CE50,IF($H$21="H Invalido",CK50,IF($H$21="M Invalida",CL50,0)))),0)</f>
        <v>0</v>
      </c>
      <c r="BR50" s="67">
        <f t="shared" si="96"/>
        <v>0</v>
      </c>
      <c r="BS50" s="67">
        <f t="shared" ref="BS50:BS81" si="122">IF(BT50=1,IF($H$20="M",CI50,IF($H$20="H",CE50,IF($H$20="H Invalido",CK50,IF($H$20="M Invalida",CL50,0)))),0)</f>
        <v>0</v>
      </c>
      <c r="BT50" s="67">
        <f t="shared" si="97"/>
        <v>0</v>
      </c>
      <c r="BU50" s="67">
        <f t="shared" ref="BU50:BU81" si="123">IF(BV50=1,IF($H$19="M",CI50,IF($H$19="H",CE50,IF($H$19="H Invalido",CK50,IF($H$19="M Invalida",CL50,0)))),0)</f>
        <v>0</v>
      </c>
      <c r="BV50" s="67">
        <f t="shared" si="98"/>
        <v>0</v>
      </c>
      <c r="BW50" s="67">
        <f t="shared" ref="BW50:BW81" si="124">IF(BX50=1,IF($H$18="M",CI50,IF($H$18="H",CE50,IF($H$18="H Invalido",CK50,IF($H$18="M Invalida",CL50,0)))),0)</f>
        <v>0</v>
      </c>
      <c r="BX50" s="67">
        <f t="shared" si="99"/>
        <v>0</v>
      </c>
      <c r="BY50" s="67">
        <f t="shared" ref="BY50:BY81" si="125">IF(BZ50=1,IF($E$10="M",CI50,IF($E$10="H",CE50,IF($E$10="H Invalido",CK50,IF($E$10="M Invalida",CL50,0)))),0)</f>
        <v>0</v>
      </c>
      <c r="BZ50" s="67">
        <f t="shared" si="100"/>
        <v>0</v>
      </c>
      <c r="CA50" s="67">
        <v>45</v>
      </c>
      <c r="CB50" s="68">
        <v>971105</v>
      </c>
      <c r="CC50" s="68">
        <f t="shared" si="72"/>
        <v>2186</v>
      </c>
      <c r="CD50" s="69">
        <f t="shared" si="73"/>
        <v>2.2510439138919065E-3</v>
      </c>
      <c r="CE50" s="67">
        <v>36.200000000000003</v>
      </c>
      <c r="CF50" s="68">
        <v>983694</v>
      </c>
      <c r="CG50" s="68">
        <f t="shared" si="74"/>
        <v>1242</v>
      </c>
      <c r="CH50" s="70">
        <f t="shared" si="75"/>
        <v>1.2625877559484962E-3</v>
      </c>
      <c r="CI50" s="67">
        <v>40.9</v>
      </c>
      <c r="CJ50" s="67">
        <v>45</v>
      </c>
      <c r="CK50" s="67">
        <v>23.79</v>
      </c>
      <c r="CL50" s="67">
        <v>29.25</v>
      </c>
      <c r="CM50" s="67"/>
      <c r="CN50" s="67"/>
      <c r="CO50" s="67"/>
      <c r="CP50" s="67"/>
      <c r="CQ50" s="67"/>
      <c r="CR50" s="67"/>
      <c r="CS50" s="67"/>
      <c r="CT50" s="67"/>
      <c r="CU50" s="67"/>
      <c r="CV50" s="67"/>
      <c r="CW50" s="67"/>
      <c r="CX50" s="67"/>
    </row>
    <row r="51" spans="1:102" s="123" customFormat="1" ht="12.75" customHeight="1" x14ac:dyDescent="0.35">
      <c r="A51" s="84"/>
      <c r="B51" s="66"/>
      <c r="C51" s="66"/>
      <c r="D51" s="66"/>
      <c r="E51" s="66"/>
      <c r="F51" s="66"/>
      <c r="G51" s="66"/>
      <c r="H51" s="66"/>
      <c r="I51" s="66"/>
      <c r="J51" s="66"/>
      <c r="K51" s="66"/>
      <c r="L51" s="66"/>
      <c r="M51" s="66"/>
      <c r="N51" s="66"/>
      <c r="O51" s="66"/>
      <c r="P51" s="176"/>
      <c r="Q51" s="173"/>
      <c r="R51" s="173"/>
      <c r="S51" s="173"/>
      <c r="T51" s="173"/>
      <c r="U51" s="173"/>
      <c r="V51" s="173"/>
      <c r="W51" s="177"/>
      <c r="X51" s="146"/>
      <c r="Y51" s="146"/>
      <c r="Z51" s="146"/>
      <c r="AA51" s="2"/>
      <c r="AB51" s="2"/>
      <c r="AC51" s="2"/>
      <c r="AD51" s="2"/>
      <c r="AE51" s="2"/>
      <c r="AF51" s="2" t="e">
        <f t="shared" ca="1" si="104"/>
        <v>#REF!</v>
      </c>
      <c r="AG51" s="2"/>
      <c r="AH51" s="2"/>
      <c r="AI51" s="2"/>
      <c r="AJ51" s="2"/>
      <c r="AK51" s="146">
        <f t="shared" si="105"/>
        <v>0</v>
      </c>
      <c r="AL51" s="146">
        <f t="shared" si="80"/>
        <v>0</v>
      </c>
      <c r="AM51" s="146">
        <f t="shared" si="106"/>
        <v>0</v>
      </c>
      <c r="AN51" s="146">
        <f t="shared" si="81"/>
        <v>0</v>
      </c>
      <c r="AO51" s="146">
        <f t="shared" si="107"/>
        <v>0</v>
      </c>
      <c r="AP51" s="146">
        <f t="shared" si="82"/>
        <v>0</v>
      </c>
      <c r="AQ51" s="146">
        <f t="shared" si="108"/>
        <v>0</v>
      </c>
      <c r="AR51" s="146">
        <f t="shared" si="83"/>
        <v>0</v>
      </c>
      <c r="AS51" s="146">
        <f t="shared" si="109"/>
        <v>0</v>
      </c>
      <c r="AT51" s="146">
        <f t="shared" si="84"/>
        <v>0</v>
      </c>
      <c r="AU51" s="146">
        <f t="shared" si="110"/>
        <v>0</v>
      </c>
      <c r="AV51" s="146">
        <f t="shared" si="85"/>
        <v>0</v>
      </c>
      <c r="AW51" s="146">
        <f t="shared" si="111"/>
        <v>0</v>
      </c>
      <c r="AX51" s="146">
        <f t="shared" si="86"/>
        <v>0</v>
      </c>
      <c r="AY51" s="146">
        <f t="shared" si="112"/>
        <v>0</v>
      </c>
      <c r="AZ51" s="146">
        <f t="shared" si="87"/>
        <v>0</v>
      </c>
      <c r="BA51" s="146">
        <f t="shared" si="113"/>
        <v>0</v>
      </c>
      <c r="BB51" s="146">
        <f t="shared" si="88"/>
        <v>0</v>
      </c>
      <c r="BC51" s="146">
        <f t="shared" si="114"/>
        <v>0</v>
      </c>
      <c r="BD51" s="146">
        <f t="shared" si="89"/>
        <v>0</v>
      </c>
      <c r="BE51" s="146">
        <f t="shared" si="115"/>
        <v>0</v>
      </c>
      <c r="BF51" s="146">
        <f t="shared" si="90"/>
        <v>0</v>
      </c>
      <c r="BG51" s="146">
        <f t="shared" si="116"/>
        <v>0</v>
      </c>
      <c r="BH51" s="146">
        <f t="shared" si="91"/>
        <v>0</v>
      </c>
      <c r="BI51" s="146">
        <f t="shared" si="117"/>
        <v>0</v>
      </c>
      <c r="BJ51" s="146">
        <f t="shared" si="92"/>
        <v>0</v>
      </c>
      <c r="BK51" s="146">
        <f t="shared" si="118"/>
        <v>0</v>
      </c>
      <c r="BL51" s="146">
        <f t="shared" si="93"/>
        <v>0</v>
      </c>
      <c r="BM51" s="146">
        <f t="shared" si="119"/>
        <v>0</v>
      </c>
      <c r="BN51" s="67">
        <f t="shared" si="94"/>
        <v>0</v>
      </c>
      <c r="BO51" s="67">
        <f t="shared" si="120"/>
        <v>0</v>
      </c>
      <c r="BP51" s="67">
        <f t="shared" si="95"/>
        <v>0</v>
      </c>
      <c r="BQ51" s="67">
        <f t="shared" si="121"/>
        <v>0</v>
      </c>
      <c r="BR51" s="67">
        <f t="shared" si="96"/>
        <v>0</v>
      </c>
      <c r="BS51" s="67">
        <f t="shared" si="122"/>
        <v>0</v>
      </c>
      <c r="BT51" s="67">
        <f t="shared" si="97"/>
        <v>0</v>
      </c>
      <c r="BU51" s="67">
        <f t="shared" si="123"/>
        <v>0</v>
      </c>
      <c r="BV51" s="67">
        <f t="shared" si="98"/>
        <v>0</v>
      </c>
      <c r="BW51" s="67">
        <f t="shared" si="124"/>
        <v>0</v>
      </c>
      <c r="BX51" s="67">
        <f t="shared" si="99"/>
        <v>0</v>
      </c>
      <c r="BY51" s="67">
        <f t="shared" si="125"/>
        <v>0</v>
      </c>
      <c r="BZ51" s="67">
        <f t="shared" si="100"/>
        <v>0</v>
      </c>
      <c r="CA51" s="67">
        <v>46</v>
      </c>
      <c r="CB51" s="68">
        <v>968919</v>
      </c>
      <c r="CC51" s="68">
        <f t="shared" si="72"/>
        <v>2358</v>
      </c>
      <c r="CD51" s="69">
        <f t="shared" si="73"/>
        <v>2.433639963712137E-3</v>
      </c>
      <c r="CE51" s="67">
        <v>35.299999999999997</v>
      </c>
      <c r="CF51" s="68">
        <v>982452</v>
      </c>
      <c r="CG51" s="68">
        <f t="shared" si="74"/>
        <v>1341</v>
      </c>
      <c r="CH51" s="70">
        <f t="shared" si="75"/>
        <v>1.364952180869905E-3</v>
      </c>
      <c r="CI51" s="67">
        <v>39.9</v>
      </c>
      <c r="CJ51" s="67">
        <v>46</v>
      </c>
      <c r="CK51" s="67">
        <v>23.27</v>
      </c>
      <c r="CL51" s="67">
        <v>28.6</v>
      </c>
      <c r="CM51" s="67"/>
      <c r="CN51" s="67"/>
      <c r="CO51" s="67"/>
      <c r="CP51" s="67"/>
      <c r="CQ51" s="67"/>
      <c r="CR51" s="67"/>
      <c r="CS51" s="67"/>
      <c r="CT51" s="67"/>
      <c r="CU51" s="67"/>
      <c r="CV51" s="67"/>
      <c r="CW51" s="67"/>
      <c r="CX51" s="67"/>
    </row>
    <row r="52" spans="1:102" s="123" customFormat="1" ht="12.75" customHeight="1" x14ac:dyDescent="0.35">
      <c r="A52" s="122"/>
      <c r="B52" s="66"/>
      <c r="C52" s="66"/>
      <c r="D52" s="66"/>
      <c r="E52" s="66"/>
      <c r="F52" s="66"/>
      <c r="G52" s="66"/>
      <c r="H52" s="66"/>
      <c r="I52" s="66"/>
      <c r="J52" s="66"/>
      <c r="K52" s="66"/>
      <c r="L52" s="66"/>
      <c r="M52" s="66"/>
      <c r="N52" s="66"/>
      <c r="O52" s="66"/>
      <c r="P52" s="176"/>
      <c r="Q52" s="173"/>
      <c r="R52" s="173"/>
      <c r="S52" s="173"/>
      <c r="T52" s="173"/>
      <c r="U52" s="173"/>
      <c r="V52" s="173"/>
      <c r="W52" s="177"/>
      <c r="X52" s="146"/>
      <c r="Y52" s="146"/>
      <c r="Z52" s="146"/>
      <c r="AA52" s="2"/>
      <c r="AB52" s="2" t="str">
        <f ca="1">IF(W46="","","MAS INFORMACION")</f>
        <v/>
      </c>
      <c r="AC52" s="2"/>
      <c r="AD52" s="2"/>
      <c r="AE52" s="2"/>
      <c r="AF52" s="2" t="e">
        <f t="shared" ca="1" si="104"/>
        <v>#REF!</v>
      </c>
      <c r="AG52" s="2"/>
      <c r="AH52" s="2"/>
      <c r="AI52" s="146"/>
      <c r="AJ52" s="146"/>
      <c r="AK52" s="146">
        <f t="shared" si="105"/>
        <v>0</v>
      </c>
      <c r="AL52" s="146">
        <f t="shared" si="80"/>
        <v>0</v>
      </c>
      <c r="AM52" s="146">
        <f t="shared" si="106"/>
        <v>0</v>
      </c>
      <c r="AN52" s="146">
        <f t="shared" si="81"/>
        <v>0</v>
      </c>
      <c r="AO52" s="146">
        <f t="shared" si="107"/>
        <v>0</v>
      </c>
      <c r="AP52" s="146">
        <f t="shared" si="82"/>
        <v>0</v>
      </c>
      <c r="AQ52" s="146">
        <f t="shared" si="108"/>
        <v>0</v>
      </c>
      <c r="AR52" s="146">
        <f t="shared" si="83"/>
        <v>0</v>
      </c>
      <c r="AS52" s="146">
        <f t="shared" si="109"/>
        <v>0</v>
      </c>
      <c r="AT52" s="146">
        <f t="shared" si="84"/>
        <v>0</v>
      </c>
      <c r="AU52" s="146">
        <f t="shared" si="110"/>
        <v>0</v>
      </c>
      <c r="AV52" s="146">
        <f t="shared" si="85"/>
        <v>0</v>
      </c>
      <c r="AW52" s="146">
        <f t="shared" si="111"/>
        <v>0</v>
      </c>
      <c r="AX52" s="146">
        <f t="shared" si="86"/>
        <v>0</v>
      </c>
      <c r="AY52" s="146">
        <f t="shared" si="112"/>
        <v>0</v>
      </c>
      <c r="AZ52" s="146">
        <f t="shared" si="87"/>
        <v>0</v>
      </c>
      <c r="BA52" s="146">
        <f t="shared" si="113"/>
        <v>0</v>
      </c>
      <c r="BB52" s="146">
        <f t="shared" si="88"/>
        <v>0</v>
      </c>
      <c r="BC52" s="146">
        <f t="shared" si="114"/>
        <v>0</v>
      </c>
      <c r="BD52" s="146">
        <f t="shared" si="89"/>
        <v>0</v>
      </c>
      <c r="BE52" s="146">
        <f t="shared" si="115"/>
        <v>0</v>
      </c>
      <c r="BF52" s="146">
        <f t="shared" si="90"/>
        <v>0</v>
      </c>
      <c r="BG52" s="146">
        <f t="shared" si="116"/>
        <v>0</v>
      </c>
      <c r="BH52" s="146">
        <f t="shared" si="91"/>
        <v>0</v>
      </c>
      <c r="BI52" s="146">
        <f t="shared" si="117"/>
        <v>0</v>
      </c>
      <c r="BJ52" s="146">
        <f t="shared" si="92"/>
        <v>0</v>
      </c>
      <c r="BK52" s="146">
        <f t="shared" si="118"/>
        <v>0</v>
      </c>
      <c r="BL52" s="146">
        <f t="shared" si="93"/>
        <v>0</v>
      </c>
      <c r="BM52" s="146">
        <f t="shared" si="119"/>
        <v>0</v>
      </c>
      <c r="BN52" s="67">
        <f t="shared" si="94"/>
        <v>0</v>
      </c>
      <c r="BO52" s="67">
        <f t="shared" si="120"/>
        <v>0</v>
      </c>
      <c r="BP52" s="67">
        <f t="shared" si="95"/>
        <v>0</v>
      </c>
      <c r="BQ52" s="67">
        <f t="shared" si="121"/>
        <v>0</v>
      </c>
      <c r="BR52" s="67">
        <f t="shared" si="96"/>
        <v>0</v>
      </c>
      <c r="BS52" s="67">
        <f t="shared" si="122"/>
        <v>0</v>
      </c>
      <c r="BT52" s="67">
        <f t="shared" si="97"/>
        <v>0</v>
      </c>
      <c r="BU52" s="67">
        <f t="shared" si="123"/>
        <v>0</v>
      </c>
      <c r="BV52" s="67">
        <f t="shared" si="98"/>
        <v>0</v>
      </c>
      <c r="BW52" s="67">
        <f t="shared" si="124"/>
        <v>0</v>
      </c>
      <c r="BX52" s="67">
        <f t="shared" si="99"/>
        <v>0</v>
      </c>
      <c r="BY52" s="67">
        <f t="shared" si="125"/>
        <v>0</v>
      </c>
      <c r="BZ52" s="67">
        <f t="shared" si="100"/>
        <v>0</v>
      </c>
      <c r="CA52" s="67">
        <v>47</v>
      </c>
      <c r="CB52" s="68">
        <v>966561</v>
      </c>
      <c r="CC52" s="68">
        <f t="shared" si="72"/>
        <v>2544</v>
      </c>
      <c r="CD52" s="69">
        <f t="shared" si="73"/>
        <v>2.6320118440532982E-3</v>
      </c>
      <c r="CE52" s="67">
        <v>34.4</v>
      </c>
      <c r="CF52" s="68">
        <v>981111</v>
      </c>
      <c r="CG52" s="68">
        <f t="shared" si="74"/>
        <v>1448</v>
      </c>
      <c r="CH52" s="70">
        <f t="shared" si="75"/>
        <v>1.4758778568378095E-3</v>
      </c>
      <c r="CI52" s="67">
        <v>39</v>
      </c>
      <c r="CJ52" s="67">
        <v>47</v>
      </c>
      <c r="CK52" s="67">
        <v>22.75</v>
      </c>
      <c r="CL52" s="67">
        <v>27.95</v>
      </c>
      <c r="CM52" s="67"/>
      <c r="CN52" s="67"/>
      <c r="CO52" s="67"/>
      <c r="CP52" s="67"/>
      <c r="CQ52" s="67"/>
      <c r="CR52" s="67"/>
      <c r="CS52" s="67"/>
      <c r="CT52" s="67"/>
      <c r="CU52" s="67"/>
      <c r="CV52" s="67"/>
      <c r="CW52" s="67"/>
      <c r="CX52" s="67"/>
    </row>
    <row r="53" spans="1:102" s="123" customFormat="1" ht="13.5" customHeight="1" x14ac:dyDescent="0.35">
      <c r="A53" s="122"/>
      <c r="B53" s="66"/>
      <c r="C53" s="66"/>
      <c r="D53" s="66"/>
      <c r="E53" s="66"/>
      <c r="F53" s="66"/>
      <c r="G53" s="66"/>
      <c r="H53" s="66"/>
      <c r="I53" s="66"/>
      <c r="J53" s="66"/>
      <c r="K53" s="66"/>
      <c r="L53" s="66"/>
      <c r="M53" s="66"/>
      <c r="N53" s="66"/>
      <c r="O53" s="66"/>
      <c r="P53" s="176"/>
      <c r="Q53" s="176"/>
      <c r="R53" s="176"/>
      <c r="S53" s="176"/>
      <c r="T53" s="176"/>
      <c r="U53" s="176"/>
      <c r="V53" s="176"/>
      <c r="W53" s="176"/>
      <c r="X53" s="146"/>
      <c r="Y53" s="146"/>
      <c r="Z53" s="146"/>
      <c r="AA53" s="146"/>
      <c r="AB53" s="146"/>
      <c r="AC53" s="146"/>
      <c r="AD53" s="146"/>
      <c r="AE53" s="146"/>
      <c r="AF53" s="146" t="e">
        <f t="shared" ca="1" si="104"/>
        <v>#REF!</v>
      </c>
      <c r="AG53" s="146"/>
      <c r="AH53" s="2"/>
      <c r="AI53" s="2"/>
      <c r="AJ53" s="2"/>
      <c r="AK53" s="146">
        <f t="shared" si="105"/>
        <v>0</v>
      </c>
      <c r="AL53" s="146">
        <f t="shared" si="80"/>
        <v>0</v>
      </c>
      <c r="AM53" s="146">
        <f t="shared" si="106"/>
        <v>0</v>
      </c>
      <c r="AN53" s="146">
        <f t="shared" si="81"/>
        <v>0</v>
      </c>
      <c r="AO53" s="146">
        <f t="shared" si="107"/>
        <v>0</v>
      </c>
      <c r="AP53" s="146">
        <f t="shared" si="82"/>
        <v>0</v>
      </c>
      <c r="AQ53" s="146">
        <f t="shared" si="108"/>
        <v>0</v>
      </c>
      <c r="AR53" s="146">
        <f t="shared" si="83"/>
        <v>0</v>
      </c>
      <c r="AS53" s="146">
        <f t="shared" si="109"/>
        <v>0</v>
      </c>
      <c r="AT53" s="146">
        <f t="shared" si="84"/>
        <v>0</v>
      </c>
      <c r="AU53" s="146">
        <f t="shared" si="110"/>
        <v>0</v>
      </c>
      <c r="AV53" s="146">
        <f t="shared" si="85"/>
        <v>0</v>
      </c>
      <c r="AW53" s="146">
        <f t="shared" si="111"/>
        <v>0</v>
      </c>
      <c r="AX53" s="146">
        <f t="shared" si="86"/>
        <v>0</v>
      </c>
      <c r="AY53" s="146">
        <f t="shared" si="112"/>
        <v>0</v>
      </c>
      <c r="AZ53" s="146">
        <f t="shared" si="87"/>
        <v>0</v>
      </c>
      <c r="BA53" s="146">
        <f t="shared" si="113"/>
        <v>0</v>
      </c>
      <c r="BB53" s="146">
        <f t="shared" si="88"/>
        <v>0</v>
      </c>
      <c r="BC53" s="146">
        <f t="shared" si="114"/>
        <v>0</v>
      </c>
      <c r="BD53" s="146">
        <f t="shared" si="89"/>
        <v>0</v>
      </c>
      <c r="BE53" s="146">
        <f t="shared" si="115"/>
        <v>0</v>
      </c>
      <c r="BF53" s="146">
        <f t="shared" si="90"/>
        <v>0</v>
      </c>
      <c r="BG53" s="146">
        <f t="shared" si="116"/>
        <v>0</v>
      </c>
      <c r="BH53" s="146">
        <f t="shared" si="91"/>
        <v>0</v>
      </c>
      <c r="BI53" s="146">
        <f t="shared" si="117"/>
        <v>0</v>
      </c>
      <c r="BJ53" s="146">
        <f t="shared" si="92"/>
        <v>0</v>
      </c>
      <c r="BK53" s="146">
        <f t="shared" si="118"/>
        <v>0</v>
      </c>
      <c r="BL53" s="146">
        <f t="shared" si="93"/>
        <v>0</v>
      </c>
      <c r="BM53" s="146">
        <f t="shared" si="119"/>
        <v>0</v>
      </c>
      <c r="BN53" s="67">
        <f t="shared" si="94"/>
        <v>0</v>
      </c>
      <c r="BO53" s="67">
        <f t="shared" si="120"/>
        <v>0</v>
      </c>
      <c r="BP53" s="67">
        <f t="shared" si="95"/>
        <v>0</v>
      </c>
      <c r="BQ53" s="67">
        <f t="shared" si="121"/>
        <v>0</v>
      </c>
      <c r="BR53" s="67">
        <f t="shared" si="96"/>
        <v>0</v>
      </c>
      <c r="BS53" s="67">
        <f t="shared" si="122"/>
        <v>0</v>
      </c>
      <c r="BT53" s="67">
        <f t="shared" si="97"/>
        <v>0</v>
      </c>
      <c r="BU53" s="67">
        <f t="shared" si="123"/>
        <v>0</v>
      </c>
      <c r="BV53" s="67">
        <f t="shared" si="98"/>
        <v>0</v>
      </c>
      <c r="BW53" s="67">
        <f t="shared" si="124"/>
        <v>0</v>
      </c>
      <c r="BX53" s="67">
        <f t="shared" si="99"/>
        <v>0</v>
      </c>
      <c r="BY53" s="67">
        <f t="shared" si="125"/>
        <v>0</v>
      </c>
      <c r="BZ53" s="67">
        <f t="shared" si="100"/>
        <v>0</v>
      </c>
      <c r="CA53" s="67">
        <v>48</v>
      </c>
      <c r="CB53" s="68">
        <v>964017</v>
      </c>
      <c r="CC53" s="68">
        <f t="shared" si="72"/>
        <v>2748</v>
      </c>
      <c r="CD53" s="69">
        <f t="shared" si="73"/>
        <v>2.8505721372133479E-3</v>
      </c>
      <c r="CE53" s="67">
        <v>33.4</v>
      </c>
      <c r="CF53" s="68">
        <v>979663</v>
      </c>
      <c r="CG53" s="68">
        <f t="shared" si="74"/>
        <v>1566</v>
      </c>
      <c r="CH53" s="70">
        <f t="shared" si="75"/>
        <v>1.5985088749906856E-3</v>
      </c>
      <c r="CI53" s="67">
        <v>38</v>
      </c>
      <c r="CJ53" s="67">
        <v>48</v>
      </c>
      <c r="CK53" s="67">
        <v>22.23</v>
      </c>
      <c r="CL53" s="67">
        <v>27.3</v>
      </c>
      <c r="CM53" s="67"/>
      <c r="CN53" s="67"/>
      <c r="CO53" s="67"/>
      <c r="CP53" s="67"/>
      <c r="CQ53" s="67"/>
      <c r="CR53" s="67"/>
      <c r="CS53" s="67"/>
      <c r="CT53" s="67"/>
      <c r="CU53" s="67"/>
      <c r="CV53" s="67"/>
      <c r="CW53" s="67"/>
      <c r="CX53" s="67"/>
    </row>
    <row r="54" spans="1:102" s="123" customFormat="1" ht="13.5" customHeight="1" x14ac:dyDescent="0.35">
      <c r="B54" s="67"/>
      <c r="C54" s="66"/>
      <c r="D54" s="66"/>
      <c r="E54" s="66"/>
      <c r="F54" s="66"/>
      <c r="G54" s="66"/>
      <c r="H54" s="66"/>
      <c r="I54" s="66"/>
      <c r="J54" s="66"/>
      <c r="K54" s="66"/>
      <c r="L54" s="66"/>
      <c r="M54" s="66"/>
      <c r="N54" s="66"/>
      <c r="O54" s="66"/>
      <c r="P54" s="176"/>
      <c r="Q54" s="176"/>
      <c r="R54" s="176"/>
      <c r="S54" s="176"/>
      <c r="T54" s="176"/>
      <c r="U54" s="176"/>
      <c r="V54" s="176"/>
      <c r="W54" s="176"/>
      <c r="X54" s="146"/>
      <c r="Y54" s="146"/>
      <c r="Z54" s="146"/>
      <c r="AA54" s="146"/>
      <c r="AB54" s="146"/>
      <c r="AC54" s="146"/>
      <c r="AD54" s="146"/>
      <c r="AE54" s="146"/>
      <c r="AF54" s="146" t="e">
        <f t="shared" ca="1" si="104"/>
        <v>#REF!</v>
      </c>
      <c r="AG54" s="146"/>
      <c r="AH54" s="2"/>
      <c r="AI54" s="2" t="e">
        <f t="shared" ref="AI54:AI73" ca="1" si="126">+AJ20*100/$M$68</f>
        <v>#REF!</v>
      </c>
      <c r="AJ54" s="2" t="e">
        <f ca="1">IF(SUM(AJ20:AJ39)&lt;=0,1,SUM(AJ20:AJ39))</f>
        <v>#REF!</v>
      </c>
      <c r="AK54" s="146">
        <f t="shared" si="105"/>
        <v>0</v>
      </c>
      <c r="AL54" s="146">
        <f t="shared" si="80"/>
        <v>0</v>
      </c>
      <c r="AM54" s="146">
        <f t="shared" si="106"/>
        <v>0</v>
      </c>
      <c r="AN54" s="146">
        <f t="shared" si="81"/>
        <v>0</v>
      </c>
      <c r="AO54" s="146">
        <f t="shared" si="107"/>
        <v>0</v>
      </c>
      <c r="AP54" s="146">
        <f t="shared" si="82"/>
        <v>0</v>
      </c>
      <c r="AQ54" s="146">
        <f t="shared" si="108"/>
        <v>0</v>
      </c>
      <c r="AR54" s="146">
        <f t="shared" si="83"/>
        <v>0</v>
      </c>
      <c r="AS54" s="146">
        <f t="shared" si="109"/>
        <v>0</v>
      </c>
      <c r="AT54" s="146">
        <f t="shared" si="84"/>
        <v>0</v>
      </c>
      <c r="AU54" s="146">
        <f t="shared" si="110"/>
        <v>0</v>
      </c>
      <c r="AV54" s="146">
        <f t="shared" si="85"/>
        <v>0</v>
      </c>
      <c r="AW54" s="146">
        <f t="shared" si="111"/>
        <v>0</v>
      </c>
      <c r="AX54" s="146">
        <f t="shared" si="86"/>
        <v>0</v>
      </c>
      <c r="AY54" s="146">
        <f t="shared" si="112"/>
        <v>0</v>
      </c>
      <c r="AZ54" s="146">
        <f t="shared" si="87"/>
        <v>0</v>
      </c>
      <c r="BA54" s="146">
        <f t="shared" si="113"/>
        <v>0</v>
      </c>
      <c r="BB54" s="146">
        <f t="shared" si="88"/>
        <v>0</v>
      </c>
      <c r="BC54" s="146">
        <f t="shared" si="114"/>
        <v>0</v>
      </c>
      <c r="BD54" s="146">
        <f t="shared" si="89"/>
        <v>0</v>
      </c>
      <c r="BE54" s="146">
        <f t="shared" si="115"/>
        <v>0</v>
      </c>
      <c r="BF54" s="146">
        <f t="shared" si="90"/>
        <v>0</v>
      </c>
      <c r="BG54" s="146">
        <f t="shared" si="116"/>
        <v>0</v>
      </c>
      <c r="BH54" s="146">
        <f t="shared" si="91"/>
        <v>0</v>
      </c>
      <c r="BI54" s="146">
        <f t="shared" si="117"/>
        <v>0</v>
      </c>
      <c r="BJ54" s="146">
        <f t="shared" si="92"/>
        <v>0</v>
      </c>
      <c r="BK54" s="146">
        <f t="shared" si="118"/>
        <v>0</v>
      </c>
      <c r="BL54" s="146">
        <f t="shared" si="93"/>
        <v>0</v>
      </c>
      <c r="BM54" s="146">
        <f t="shared" si="119"/>
        <v>0</v>
      </c>
      <c r="BN54" s="67">
        <f t="shared" si="94"/>
        <v>0</v>
      </c>
      <c r="BO54" s="67">
        <f t="shared" si="120"/>
        <v>0</v>
      </c>
      <c r="BP54" s="67">
        <f t="shared" si="95"/>
        <v>0</v>
      </c>
      <c r="BQ54" s="67">
        <f t="shared" si="121"/>
        <v>0</v>
      </c>
      <c r="BR54" s="67">
        <f t="shared" si="96"/>
        <v>0</v>
      </c>
      <c r="BS54" s="67">
        <f t="shared" si="122"/>
        <v>0</v>
      </c>
      <c r="BT54" s="67">
        <f t="shared" si="97"/>
        <v>0</v>
      </c>
      <c r="BU54" s="67">
        <f t="shared" si="123"/>
        <v>0</v>
      </c>
      <c r="BV54" s="67">
        <f t="shared" si="98"/>
        <v>0</v>
      </c>
      <c r="BW54" s="67">
        <f t="shared" si="124"/>
        <v>0</v>
      </c>
      <c r="BX54" s="67">
        <f t="shared" si="99"/>
        <v>0</v>
      </c>
      <c r="BY54" s="67">
        <f t="shared" si="125"/>
        <v>0</v>
      </c>
      <c r="BZ54" s="67">
        <f t="shared" si="100"/>
        <v>0</v>
      </c>
      <c r="CA54" s="67">
        <v>49</v>
      </c>
      <c r="CB54" s="68">
        <v>961269</v>
      </c>
      <c r="CC54" s="68">
        <f t="shared" si="72"/>
        <v>2971</v>
      </c>
      <c r="CD54" s="69">
        <f t="shared" si="73"/>
        <v>3.0907061394885305E-3</v>
      </c>
      <c r="CE54" s="67">
        <v>32.5</v>
      </c>
      <c r="CF54" s="68">
        <v>978097</v>
      </c>
      <c r="CG54" s="68">
        <f t="shared" si="74"/>
        <v>1695</v>
      </c>
      <c r="CH54" s="70">
        <f t="shared" si="75"/>
        <v>1.7329569562119095E-3</v>
      </c>
      <c r="CI54" s="67">
        <v>37.1</v>
      </c>
      <c r="CJ54" s="67">
        <v>49</v>
      </c>
      <c r="CK54" s="67">
        <v>21.7</v>
      </c>
      <c r="CL54" s="67">
        <v>26.65</v>
      </c>
      <c r="CM54" s="67"/>
      <c r="CN54" s="67"/>
      <c r="CO54" s="67"/>
      <c r="CP54" s="67"/>
      <c r="CQ54" s="67"/>
      <c r="CR54" s="67"/>
      <c r="CS54" s="67"/>
      <c r="CT54" s="67"/>
      <c r="CU54" s="67"/>
      <c r="CV54" s="67"/>
      <c r="CW54" s="67"/>
      <c r="CX54" s="67"/>
    </row>
    <row r="55" spans="1:102" s="123" customFormat="1" ht="13.5" customHeight="1" x14ac:dyDescent="0.35">
      <c r="B55" s="67"/>
      <c r="C55" s="67"/>
      <c r="D55" s="67"/>
      <c r="E55" s="67"/>
      <c r="F55" s="67"/>
      <c r="G55" s="67"/>
      <c r="H55" s="67"/>
      <c r="I55" s="67"/>
      <c r="J55" s="67"/>
      <c r="K55" s="67"/>
      <c r="L55" s="67"/>
      <c r="M55" s="67"/>
      <c r="N55" s="67"/>
      <c r="O55" s="67"/>
      <c r="P55" s="146"/>
      <c r="Q55" s="146"/>
      <c r="R55" s="146"/>
      <c r="S55" s="146"/>
      <c r="T55" s="146"/>
      <c r="U55" s="146"/>
      <c r="V55" s="146"/>
      <c r="W55" s="146"/>
      <c r="X55" s="146"/>
      <c r="Y55" s="146"/>
      <c r="Z55" s="146"/>
      <c r="AA55" s="146"/>
      <c r="AB55" s="146"/>
      <c r="AC55" s="146"/>
      <c r="AD55" s="146"/>
      <c r="AE55" s="146"/>
      <c r="AF55" s="146" t="e">
        <f t="shared" ca="1" si="104"/>
        <v>#REF!</v>
      </c>
      <c r="AG55" s="146"/>
      <c r="AH55" s="2"/>
      <c r="AI55" s="2" t="e">
        <f t="shared" ca="1" si="126"/>
        <v>#REF!</v>
      </c>
      <c r="AJ55" s="2" t="e">
        <f t="shared" ref="AJ55:AJ74" ca="1" si="127">+AI54*$AF$80</f>
        <v>#REF!</v>
      </c>
      <c r="AK55" s="146">
        <f t="shared" si="105"/>
        <v>0</v>
      </c>
      <c r="AL55" s="146">
        <f t="shared" si="80"/>
        <v>0</v>
      </c>
      <c r="AM55" s="146">
        <f t="shared" si="106"/>
        <v>0</v>
      </c>
      <c r="AN55" s="146">
        <f t="shared" si="81"/>
        <v>0</v>
      </c>
      <c r="AO55" s="146">
        <f t="shared" si="107"/>
        <v>0</v>
      </c>
      <c r="AP55" s="146">
        <f t="shared" si="82"/>
        <v>0</v>
      </c>
      <c r="AQ55" s="146">
        <f t="shared" si="108"/>
        <v>0</v>
      </c>
      <c r="AR55" s="146">
        <f t="shared" si="83"/>
        <v>0</v>
      </c>
      <c r="AS55" s="146">
        <f t="shared" si="109"/>
        <v>0</v>
      </c>
      <c r="AT55" s="146">
        <f t="shared" si="84"/>
        <v>0</v>
      </c>
      <c r="AU55" s="146">
        <f t="shared" si="110"/>
        <v>0</v>
      </c>
      <c r="AV55" s="146">
        <f t="shared" si="85"/>
        <v>0</v>
      </c>
      <c r="AW55" s="146">
        <f t="shared" si="111"/>
        <v>0</v>
      </c>
      <c r="AX55" s="146">
        <f t="shared" si="86"/>
        <v>0</v>
      </c>
      <c r="AY55" s="146">
        <f t="shared" si="112"/>
        <v>0</v>
      </c>
      <c r="AZ55" s="146">
        <f t="shared" si="87"/>
        <v>0</v>
      </c>
      <c r="BA55" s="146">
        <f t="shared" si="113"/>
        <v>0</v>
      </c>
      <c r="BB55" s="146">
        <f t="shared" si="88"/>
        <v>0</v>
      </c>
      <c r="BC55" s="146">
        <f t="shared" si="114"/>
        <v>0</v>
      </c>
      <c r="BD55" s="146">
        <f t="shared" si="89"/>
        <v>0</v>
      </c>
      <c r="BE55" s="146">
        <f t="shared" si="115"/>
        <v>0</v>
      </c>
      <c r="BF55" s="146">
        <f t="shared" si="90"/>
        <v>0</v>
      </c>
      <c r="BG55" s="146">
        <f t="shared" si="116"/>
        <v>0</v>
      </c>
      <c r="BH55" s="146">
        <f t="shared" si="91"/>
        <v>0</v>
      </c>
      <c r="BI55" s="146">
        <f t="shared" si="117"/>
        <v>0</v>
      </c>
      <c r="BJ55" s="146">
        <f t="shared" si="92"/>
        <v>0</v>
      </c>
      <c r="BK55" s="146">
        <f t="shared" si="118"/>
        <v>0</v>
      </c>
      <c r="BL55" s="146">
        <f t="shared" si="93"/>
        <v>0</v>
      </c>
      <c r="BM55" s="146">
        <f t="shared" si="119"/>
        <v>0</v>
      </c>
      <c r="BN55" s="67">
        <f t="shared" si="94"/>
        <v>0</v>
      </c>
      <c r="BO55" s="67">
        <f t="shared" si="120"/>
        <v>0</v>
      </c>
      <c r="BP55" s="67">
        <f t="shared" si="95"/>
        <v>0</v>
      </c>
      <c r="BQ55" s="67">
        <f t="shared" si="121"/>
        <v>0</v>
      </c>
      <c r="BR55" s="67">
        <f t="shared" si="96"/>
        <v>0</v>
      </c>
      <c r="BS55" s="67">
        <f t="shared" si="122"/>
        <v>0</v>
      </c>
      <c r="BT55" s="67">
        <f t="shared" si="97"/>
        <v>0</v>
      </c>
      <c r="BU55" s="67">
        <f t="shared" si="123"/>
        <v>0</v>
      </c>
      <c r="BV55" s="67">
        <f t="shared" si="98"/>
        <v>0</v>
      </c>
      <c r="BW55" s="67">
        <f t="shared" si="124"/>
        <v>0</v>
      </c>
      <c r="BX55" s="67">
        <f t="shared" si="99"/>
        <v>0</v>
      </c>
      <c r="BY55" s="67">
        <f t="shared" si="125"/>
        <v>0</v>
      </c>
      <c r="BZ55" s="67">
        <f t="shared" si="100"/>
        <v>0</v>
      </c>
      <c r="CA55" s="67">
        <v>50</v>
      </c>
      <c r="CB55" s="68">
        <v>958298</v>
      </c>
      <c r="CC55" s="68">
        <f t="shared" si="72"/>
        <v>3213</v>
      </c>
      <c r="CD55" s="69">
        <f t="shared" si="73"/>
        <v>3.3528192691626196E-3</v>
      </c>
      <c r="CE55" s="67">
        <v>31.6</v>
      </c>
      <c r="CF55" s="68">
        <v>976402</v>
      </c>
      <c r="CG55" s="68">
        <f t="shared" si="74"/>
        <v>1836</v>
      </c>
      <c r="CH55" s="70">
        <f t="shared" si="75"/>
        <v>1.8803730430703746E-3</v>
      </c>
      <c r="CI55" s="67">
        <v>36.200000000000003</v>
      </c>
      <c r="CJ55" s="67">
        <v>50</v>
      </c>
      <c r="CK55" s="67">
        <v>21.18</v>
      </c>
      <c r="CL55" s="67">
        <v>26</v>
      </c>
      <c r="CM55" s="67"/>
      <c r="CN55" s="67"/>
      <c r="CO55" s="67"/>
      <c r="CP55" s="67"/>
      <c r="CQ55" s="67"/>
      <c r="CR55" s="67"/>
      <c r="CS55" s="67"/>
      <c r="CT55" s="67"/>
      <c r="CU55" s="67"/>
      <c r="CV55" s="67"/>
      <c r="CW55" s="67"/>
      <c r="CX55" s="67"/>
    </row>
    <row r="56" spans="1:102" s="146" customFormat="1" ht="13.5" customHeight="1" x14ac:dyDescent="0.35">
      <c r="AF56" s="146" t="e">
        <f t="shared" ca="1" si="104"/>
        <v>#REF!</v>
      </c>
      <c r="AH56" s="2"/>
      <c r="AI56" s="2" t="e">
        <f t="shared" ca="1" si="126"/>
        <v>#REF!</v>
      </c>
      <c r="AJ56" s="2" t="e">
        <f t="shared" ca="1" si="127"/>
        <v>#REF!</v>
      </c>
      <c r="AK56" s="146">
        <f t="shared" si="105"/>
        <v>0</v>
      </c>
      <c r="AL56" s="146">
        <f t="shared" si="80"/>
        <v>0</v>
      </c>
      <c r="AM56" s="146">
        <f t="shared" si="106"/>
        <v>0</v>
      </c>
      <c r="AN56" s="146">
        <f t="shared" si="81"/>
        <v>0</v>
      </c>
      <c r="AO56" s="146">
        <f t="shared" si="107"/>
        <v>0</v>
      </c>
      <c r="AP56" s="146">
        <f t="shared" si="82"/>
        <v>0</v>
      </c>
      <c r="AQ56" s="146">
        <f t="shared" si="108"/>
        <v>0</v>
      </c>
      <c r="AR56" s="146">
        <f t="shared" si="83"/>
        <v>0</v>
      </c>
      <c r="AS56" s="146">
        <f t="shared" si="109"/>
        <v>0</v>
      </c>
      <c r="AT56" s="146">
        <f t="shared" si="84"/>
        <v>0</v>
      </c>
      <c r="AU56" s="146">
        <f t="shared" si="110"/>
        <v>0</v>
      </c>
      <c r="AV56" s="146">
        <f t="shared" si="85"/>
        <v>0</v>
      </c>
      <c r="AW56" s="146">
        <f t="shared" si="111"/>
        <v>0</v>
      </c>
      <c r="AX56" s="146">
        <f t="shared" si="86"/>
        <v>0</v>
      </c>
      <c r="AY56" s="146">
        <f t="shared" si="112"/>
        <v>0</v>
      </c>
      <c r="AZ56" s="146">
        <f t="shared" si="87"/>
        <v>0</v>
      </c>
      <c r="BA56" s="146">
        <f t="shared" si="113"/>
        <v>0</v>
      </c>
      <c r="BB56" s="146">
        <f t="shared" si="88"/>
        <v>0</v>
      </c>
      <c r="BC56" s="146">
        <f t="shared" si="114"/>
        <v>0</v>
      </c>
      <c r="BD56" s="146">
        <f t="shared" si="89"/>
        <v>0</v>
      </c>
      <c r="BE56" s="146">
        <f t="shared" si="115"/>
        <v>0</v>
      </c>
      <c r="BF56" s="146">
        <f t="shared" si="90"/>
        <v>0</v>
      </c>
      <c r="BG56" s="146">
        <f t="shared" si="116"/>
        <v>0</v>
      </c>
      <c r="BH56" s="146">
        <f t="shared" si="91"/>
        <v>0</v>
      </c>
      <c r="BI56" s="146">
        <f t="shared" si="117"/>
        <v>0</v>
      </c>
      <c r="BJ56" s="146">
        <f t="shared" si="92"/>
        <v>0</v>
      </c>
      <c r="BK56" s="146">
        <f t="shared" si="118"/>
        <v>30.7</v>
      </c>
      <c r="BL56" s="146">
        <f t="shared" si="93"/>
        <v>1</v>
      </c>
      <c r="BM56" s="146">
        <f t="shared" si="119"/>
        <v>0</v>
      </c>
      <c r="BN56" s="146">
        <f t="shared" si="94"/>
        <v>0</v>
      </c>
      <c r="BO56" s="146">
        <f t="shared" si="120"/>
        <v>0</v>
      </c>
      <c r="BP56" s="146">
        <f t="shared" si="95"/>
        <v>0</v>
      </c>
      <c r="BQ56" s="146">
        <f t="shared" si="121"/>
        <v>0</v>
      </c>
      <c r="BR56" s="146">
        <f t="shared" si="96"/>
        <v>0</v>
      </c>
      <c r="BS56" s="146">
        <f t="shared" si="122"/>
        <v>0</v>
      </c>
      <c r="BT56" s="146">
        <f t="shared" si="97"/>
        <v>0</v>
      </c>
      <c r="BU56" s="146">
        <f t="shared" si="123"/>
        <v>0</v>
      </c>
      <c r="BV56" s="146">
        <f t="shared" si="98"/>
        <v>0</v>
      </c>
      <c r="BW56" s="146">
        <f t="shared" si="124"/>
        <v>0</v>
      </c>
      <c r="BX56" s="146">
        <f t="shared" si="99"/>
        <v>0</v>
      </c>
      <c r="BY56" s="146">
        <f t="shared" si="125"/>
        <v>0</v>
      </c>
      <c r="BZ56" s="146">
        <f t="shared" si="100"/>
        <v>0</v>
      </c>
      <c r="CA56" s="146">
        <v>51</v>
      </c>
      <c r="CB56" s="147">
        <v>955085</v>
      </c>
      <c r="CC56" s="147">
        <f t="shared" si="72"/>
        <v>3477</v>
      </c>
      <c r="CD56" s="148">
        <f t="shared" si="73"/>
        <v>3.640513671558029E-3</v>
      </c>
      <c r="CE56" s="146">
        <v>30.7</v>
      </c>
      <c r="CF56" s="147">
        <v>974566</v>
      </c>
      <c r="CG56" s="147">
        <f t="shared" si="74"/>
        <v>1990</v>
      </c>
      <c r="CH56" s="149">
        <f t="shared" si="75"/>
        <v>2.0419345636929669E-3</v>
      </c>
      <c r="CI56" s="146">
        <v>35.200000000000003</v>
      </c>
      <c r="CJ56" s="146">
        <v>51</v>
      </c>
      <c r="CK56" s="146">
        <v>20.65</v>
      </c>
      <c r="CL56" s="146">
        <v>25.35</v>
      </c>
    </row>
    <row r="57" spans="1:102" s="146" customFormat="1" ht="13.5" customHeight="1" x14ac:dyDescent="0.35">
      <c r="K57" s="146">
        <f>SQRT(7)</f>
        <v>2.6457513110645907</v>
      </c>
      <c r="L57" s="146">
        <v>0</v>
      </c>
      <c r="O57" s="146">
        <v>5</v>
      </c>
      <c r="P57" s="146">
        <f>SQRT(7)</f>
        <v>2.6457513110645907</v>
      </c>
      <c r="AF57" s="146" t="e">
        <f t="shared" ca="1" si="104"/>
        <v>#REF!</v>
      </c>
      <c r="AI57" s="2" t="e">
        <f t="shared" ca="1" si="126"/>
        <v>#REF!</v>
      </c>
      <c r="AJ57" s="2" t="e">
        <f t="shared" ca="1" si="127"/>
        <v>#REF!</v>
      </c>
      <c r="AK57" s="146">
        <f t="shared" si="105"/>
        <v>0</v>
      </c>
      <c r="AL57" s="146">
        <f t="shared" si="80"/>
        <v>0</v>
      </c>
      <c r="AM57" s="146">
        <f t="shared" si="106"/>
        <v>0</v>
      </c>
      <c r="AN57" s="146">
        <f t="shared" si="81"/>
        <v>0</v>
      </c>
      <c r="AO57" s="146">
        <f t="shared" si="107"/>
        <v>0</v>
      </c>
      <c r="AP57" s="146">
        <f t="shared" si="82"/>
        <v>0</v>
      </c>
      <c r="AQ57" s="146">
        <f t="shared" si="108"/>
        <v>0</v>
      </c>
      <c r="AR57" s="146">
        <f t="shared" si="83"/>
        <v>0</v>
      </c>
      <c r="AS57" s="146">
        <f t="shared" si="109"/>
        <v>0</v>
      </c>
      <c r="AT57" s="146">
        <f t="shared" si="84"/>
        <v>0</v>
      </c>
      <c r="AU57" s="146">
        <f t="shared" si="110"/>
        <v>0</v>
      </c>
      <c r="AV57" s="146">
        <f t="shared" si="85"/>
        <v>0</v>
      </c>
      <c r="AW57" s="146">
        <f t="shared" si="111"/>
        <v>0</v>
      </c>
      <c r="AX57" s="146">
        <f t="shared" si="86"/>
        <v>0</v>
      </c>
      <c r="AY57" s="146">
        <f t="shared" si="112"/>
        <v>0</v>
      </c>
      <c r="AZ57" s="146">
        <f t="shared" si="87"/>
        <v>0</v>
      </c>
      <c r="BA57" s="146">
        <f t="shared" si="113"/>
        <v>0</v>
      </c>
      <c r="BB57" s="146">
        <f t="shared" si="88"/>
        <v>0</v>
      </c>
      <c r="BC57" s="146">
        <f t="shared" si="114"/>
        <v>0</v>
      </c>
      <c r="BD57" s="146">
        <f t="shared" si="89"/>
        <v>0</v>
      </c>
      <c r="BE57" s="146">
        <f t="shared" si="115"/>
        <v>0</v>
      </c>
      <c r="BF57" s="146">
        <f t="shared" si="90"/>
        <v>0</v>
      </c>
      <c r="BG57" s="146">
        <f t="shared" si="116"/>
        <v>0</v>
      </c>
      <c r="BH57" s="146">
        <f t="shared" si="91"/>
        <v>0</v>
      </c>
      <c r="BI57" s="146">
        <f t="shared" si="117"/>
        <v>0</v>
      </c>
      <c r="BJ57" s="146">
        <f t="shared" si="92"/>
        <v>0</v>
      </c>
      <c r="BK57" s="146">
        <f t="shared" si="118"/>
        <v>0</v>
      </c>
      <c r="BL57" s="146">
        <f t="shared" si="93"/>
        <v>0</v>
      </c>
      <c r="BM57" s="146">
        <f t="shared" si="119"/>
        <v>0</v>
      </c>
      <c r="BN57" s="146">
        <f t="shared" si="94"/>
        <v>0</v>
      </c>
      <c r="BO57" s="146">
        <f t="shared" si="120"/>
        <v>0</v>
      </c>
      <c r="BP57" s="146">
        <f t="shared" si="95"/>
        <v>0</v>
      </c>
      <c r="BQ57" s="146">
        <f t="shared" si="121"/>
        <v>0</v>
      </c>
      <c r="BR57" s="146">
        <f t="shared" si="96"/>
        <v>0</v>
      </c>
      <c r="BS57" s="146">
        <f t="shared" si="122"/>
        <v>0</v>
      </c>
      <c r="BT57" s="146">
        <f t="shared" si="97"/>
        <v>0</v>
      </c>
      <c r="BU57" s="146">
        <f t="shared" si="123"/>
        <v>0</v>
      </c>
      <c r="BV57" s="146">
        <f t="shared" si="98"/>
        <v>0</v>
      </c>
      <c r="BW57" s="146">
        <f t="shared" si="124"/>
        <v>0</v>
      </c>
      <c r="BX57" s="146">
        <f t="shared" si="99"/>
        <v>0</v>
      </c>
      <c r="BY57" s="146">
        <f t="shared" si="125"/>
        <v>0</v>
      </c>
      <c r="BZ57" s="146">
        <f t="shared" si="100"/>
        <v>0</v>
      </c>
      <c r="CA57" s="146">
        <v>52</v>
      </c>
      <c r="CB57" s="147">
        <v>951608</v>
      </c>
      <c r="CC57" s="147">
        <f t="shared" si="72"/>
        <v>3765</v>
      </c>
      <c r="CD57" s="148">
        <f t="shared" si="73"/>
        <v>3.9564610637993795E-3</v>
      </c>
      <c r="CE57" s="146">
        <v>29.9</v>
      </c>
      <c r="CF57" s="147">
        <v>972576</v>
      </c>
      <c r="CG57" s="147">
        <f t="shared" si="74"/>
        <v>2158</v>
      </c>
      <c r="CH57" s="149">
        <f t="shared" si="75"/>
        <v>2.2188497351363799E-3</v>
      </c>
      <c r="CI57" s="146">
        <v>34.299999999999997</v>
      </c>
      <c r="CJ57" s="146">
        <v>52</v>
      </c>
      <c r="CK57" s="146">
        <v>20.13</v>
      </c>
      <c r="CL57" s="146">
        <v>24.7</v>
      </c>
    </row>
    <row r="58" spans="1:102" s="146" customFormat="1" ht="13.5" customHeight="1" x14ac:dyDescent="0.35">
      <c r="K58" s="146">
        <v>1</v>
      </c>
      <c r="L58" s="146">
        <v>-3</v>
      </c>
      <c r="O58" s="146">
        <f>-SQRT(7)</f>
        <v>-2.6457513110645907</v>
      </c>
      <c r="P58" s="146">
        <v>5</v>
      </c>
      <c r="AF58" s="146" t="e">
        <f t="shared" ca="1" si="104"/>
        <v>#REF!</v>
      </c>
      <c r="AI58" s="2" t="e">
        <f t="shared" ca="1" si="126"/>
        <v>#REF!</v>
      </c>
      <c r="AJ58" s="2" t="e">
        <f t="shared" ca="1" si="127"/>
        <v>#REF!</v>
      </c>
      <c r="AK58" s="146">
        <f t="shared" si="105"/>
        <v>0</v>
      </c>
      <c r="AL58" s="146">
        <f t="shared" si="80"/>
        <v>0</v>
      </c>
      <c r="AM58" s="146">
        <f t="shared" si="106"/>
        <v>0</v>
      </c>
      <c r="AN58" s="146">
        <f t="shared" si="81"/>
        <v>0</v>
      </c>
      <c r="AO58" s="146">
        <f t="shared" si="107"/>
        <v>0</v>
      </c>
      <c r="AP58" s="146">
        <f t="shared" si="82"/>
        <v>0</v>
      </c>
      <c r="AQ58" s="146">
        <f t="shared" si="108"/>
        <v>0</v>
      </c>
      <c r="AR58" s="146">
        <f t="shared" si="83"/>
        <v>0</v>
      </c>
      <c r="AS58" s="146">
        <f t="shared" si="109"/>
        <v>0</v>
      </c>
      <c r="AT58" s="146">
        <f t="shared" si="84"/>
        <v>0</v>
      </c>
      <c r="AU58" s="146">
        <f t="shared" si="110"/>
        <v>0</v>
      </c>
      <c r="AV58" s="146">
        <f t="shared" si="85"/>
        <v>0</v>
      </c>
      <c r="AW58" s="146">
        <f t="shared" si="111"/>
        <v>0</v>
      </c>
      <c r="AX58" s="146">
        <f t="shared" si="86"/>
        <v>0</v>
      </c>
      <c r="AY58" s="146">
        <f t="shared" si="112"/>
        <v>0</v>
      </c>
      <c r="AZ58" s="146">
        <f t="shared" si="87"/>
        <v>0</v>
      </c>
      <c r="BA58" s="146">
        <f t="shared" si="113"/>
        <v>0</v>
      </c>
      <c r="BB58" s="146">
        <f t="shared" si="88"/>
        <v>0</v>
      </c>
      <c r="BC58" s="146">
        <f t="shared" si="114"/>
        <v>0</v>
      </c>
      <c r="BD58" s="146">
        <f t="shared" si="89"/>
        <v>0</v>
      </c>
      <c r="BE58" s="146">
        <f t="shared" si="115"/>
        <v>0</v>
      </c>
      <c r="BF58" s="146">
        <f t="shared" si="90"/>
        <v>0</v>
      </c>
      <c r="BG58" s="146">
        <f t="shared" si="116"/>
        <v>0</v>
      </c>
      <c r="BH58" s="146">
        <f t="shared" si="91"/>
        <v>0</v>
      </c>
      <c r="BI58" s="146">
        <f t="shared" si="117"/>
        <v>0</v>
      </c>
      <c r="BJ58" s="146">
        <f t="shared" si="92"/>
        <v>0</v>
      </c>
      <c r="BK58" s="146">
        <f t="shared" si="118"/>
        <v>0</v>
      </c>
      <c r="BL58" s="146">
        <f t="shared" si="93"/>
        <v>0</v>
      </c>
      <c r="BM58" s="146">
        <f t="shared" si="119"/>
        <v>0</v>
      </c>
      <c r="BN58" s="146">
        <f t="shared" si="94"/>
        <v>0</v>
      </c>
      <c r="BO58" s="146">
        <f t="shared" si="120"/>
        <v>0</v>
      </c>
      <c r="BP58" s="146">
        <f t="shared" si="95"/>
        <v>0</v>
      </c>
      <c r="BQ58" s="146">
        <f t="shared" si="121"/>
        <v>29</v>
      </c>
      <c r="BR58" s="146">
        <f t="shared" si="96"/>
        <v>1</v>
      </c>
      <c r="BS58" s="146">
        <f t="shared" si="122"/>
        <v>0</v>
      </c>
      <c r="BT58" s="146">
        <f t="shared" si="97"/>
        <v>0</v>
      </c>
      <c r="BU58" s="146">
        <f t="shared" si="123"/>
        <v>0</v>
      </c>
      <c r="BV58" s="146">
        <f t="shared" si="98"/>
        <v>0</v>
      </c>
      <c r="BW58" s="146">
        <f t="shared" si="124"/>
        <v>0</v>
      </c>
      <c r="BX58" s="146">
        <f t="shared" si="99"/>
        <v>0</v>
      </c>
      <c r="BY58" s="146">
        <f t="shared" si="125"/>
        <v>0</v>
      </c>
      <c r="BZ58" s="146">
        <f t="shared" si="100"/>
        <v>0</v>
      </c>
      <c r="CA58" s="146">
        <v>53</v>
      </c>
      <c r="CB58" s="147">
        <v>947843</v>
      </c>
      <c r="CC58" s="147">
        <f t="shared" si="72"/>
        <v>4077</v>
      </c>
      <c r="CD58" s="148">
        <f t="shared" si="73"/>
        <v>4.3013452649858681E-3</v>
      </c>
      <c r="CE58" s="146">
        <v>29</v>
      </c>
      <c r="CF58" s="147">
        <v>970418</v>
      </c>
      <c r="CG58" s="147">
        <f t="shared" si="74"/>
        <v>2341</v>
      </c>
      <c r="CH58" s="149">
        <f t="shared" si="75"/>
        <v>2.4123625077028662E-3</v>
      </c>
      <c r="CI58" s="146">
        <v>33.4</v>
      </c>
      <c r="CJ58" s="146">
        <v>53</v>
      </c>
      <c r="CK58" s="146">
        <v>19.61</v>
      </c>
      <c r="CL58" s="146">
        <v>24.05</v>
      </c>
    </row>
    <row r="59" spans="1:102" s="146" customFormat="1" ht="13.5" customHeight="1" x14ac:dyDescent="0.35">
      <c r="C59" s="146" t="s">
        <v>122</v>
      </c>
      <c r="AF59" s="146" t="e">
        <f t="shared" ca="1" si="104"/>
        <v>#REF!</v>
      </c>
      <c r="AI59" s="146" t="e">
        <f t="shared" ca="1" si="126"/>
        <v>#REF!</v>
      </c>
      <c r="AJ59" s="2" t="e">
        <f t="shared" ca="1" si="127"/>
        <v>#REF!</v>
      </c>
      <c r="AK59" s="146">
        <f t="shared" si="105"/>
        <v>0</v>
      </c>
      <c r="AL59" s="146">
        <f t="shared" si="80"/>
        <v>0</v>
      </c>
      <c r="AM59" s="146">
        <f t="shared" si="106"/>
        <v>0</v>
      </c>
      <c r="AN59" s="146">
        <f t="shared" si="81"/>
        <v>0</v>
      </c>
      <c r="AO59" s="146">
        <f t="shared" si="107"/>
        <v>0</v>
      </c>
      <c r="AP59" s="146">
        <f t="shared" si="82"/>
        <v>0</v>
      </c>
      <c r="AQ59" s="146">
        <f t="shared" si="108"/>
        <v>0</v>
      </c>
      <c r="AR59" s="146">
        <f t="shared" si="83"/>
        <v>0</v>
      </c>
      <c r="AS59" s="146">
        <f t="shared" si="109"/>
        <v>0</v>
      </c>
      <c r="AT59" s="146">
        <f t="shared" si="84"/>
        <v>0</v>
      </c>
      <c r="AU59" s="146">
        <f t="shared" si="110"/>
        <v>0</v>
      </c>
      <c r="AV59" s="146">
        <f t="shared" si="85"/>
        <v>0</v>
      </c>
      <c r="AW59" s="146">
        <f t="shared" si="111"/>
        <v>0</v>
      </c>
      <c r="AX59" s="146">
        <f t="shared" si="86"/>
        <v>0</v>
      </c>
      <c r="AY59" s="146">
        <f t="shared" si="112"/>
        <v>0</v>
      </c>
      <c r="AZ59" s="146">
        <f t="shared" si="87"/>
        <v>0</v>
      </c>
      <c r="BA59" s="146">
        <f t="shared" si="113"/>
        <v>0</v>
      </c>
      <c r="BB59" s="146">
        <f t="shared" si="88"/>
        <v>0</v>
      </c>
      <c r="BC59" s="146">
        <f t="shared" si="114"/>
        <v>0</v>
      </c>
      <c r="BD59" s="146">
        <f t="shared" si="89"/>
        <v>0</v>
      </c>
      <c r="BE59" s="146">
        <f t="shared" si="115"/>
        <v>0</v>
      </c>
      <c r="BF59" s="146">
        <f t="shared" si="90"/>
        <v>0</v>
      </c>
      <c r="BG59" s="146">
        <f t="shared" si="116"/>
        <v>0</v>
      </c>
      <c r="BH59" s="146">
        <f t="shared" si="91"/>
        <v>0</v>
      </c>
      <c r="BI59" s="146">
        <f t="shared" si="117"/>
        <v>0</v>
      </c>
      <c r="BJ59" s="146">
        <f t="shared" si="92"/>
        <v>0</v>
      </c>
      <c r="BK59" s="146">
        <f t="shared" si="118"/>
        <v>0</v>
      </c>
      <c r="BL59" s="146">
        <f t="shared" si="93"/>
        <v>0</v>
      </c>
      <c r="BM59" s="146">
        <f t="shared" si="119"/>
        <v>0</v>
      </c>
      <c r="BN59" s="146">
        <f t="shared" si="94"/>
        <v>0</v>
      </c>
      <c r="BO59" s="146">
        <f t="shared" si="120"/>
        <v>0</v>
      </c>
      <c r="BP59" s="146">
        <f t="shared" si="95"/>
        <v>0</v>
      </c>
      <c r="BQ59" s="146">
        <f t="shared" si="121"/>
        <v>0</v>
      </c>
      <c r="BR59" s="146">
        <f t="shared" si="96"/>
        <v>0</v>
      </c>
      <c r="BS59" s="146">
        <f t="shared" si="122"/>
        <v>0</v>
      </c>
      <c r="BT59" s="146">
        <f t="shared" si="97"/>
        <v>0</v>
      </c>
      <c r="BU59" s="146">
        <f t="shared" si="123"/>
        <v>0</v>
      </c>
      <c r="BV59" s="146">
        <f t="shared" si="98"/>
        <v>0</v>
      </c>
      <c r="BW59" s="146">
        <f t="shared" si="124"/>
        <v>0</v>
      </c>
      <c r="BX59" s="146">
        <f t="shared" si="99"/>
        <v>0</v>
      </c>
      <c r="BY59" s="146">
        <f t="shared" si="125"/>
        <v>0</v>
      </c>
      <c r="BZ59" s="146">
        <f t="shared" si="100"/>
        <v>0</v>
      </c>
      <c r="CA59" s="146">
        <v>54</v>
      </c>
      <c r="CB59" s="147">
        <v>943766</v>
      </c>
      <c r="CC59" s="147">
        <f t="shared" si="72"/>
        <v>4418</v>
      </c>
      <c r="CD59" s="148">
        <f t="shared" si="73"/>
        <v>4.6812451391552564E-3</v>
      </c>
      <c r="CE59" s="146">
        <v>28.1</v>
      </c>
      <c r="CF59" s="147">
        <v>968077</v>
      </c>
      <c r="CG59" s="147">
        <f t="shared" si="74"/>
        <v>2541</v>
      </c>
      <c r="CH59" s="149">
        <f t="shared" si="75"/>
        <v>2.6247912097901302E-3</v>
      </c>
      <c r="CI59" s="146">
        <v>32.5</v>
      </c>
      <c r="CJ59" s="146">
        <v>54</v>
      </c>
      <c r="CK59" s="146">
        <v>19.079999999999998</v>
      </c>
      <c r="CL59" s="146">
        <v>23.4</v>
      </c>
    </row>
    <row r="60" spans="1:102" s="146" customFormat="1" ht="13.5" customHeight="1" x14ac:dyDescent="0.35">
      <c r="C60" s="146" t="str">
        <f>IF(T6="SI",C59,"")</f>
        <v/>
      </c>
      <c r="K60" s="146">
        <f>+K57*L58-K58*L57</f>
        <v>-7.9372539331937721</v>
      </c>
      <c r="AA60" s="146">
        <f>YEAR(E9)</f>
        <v>2022</v>
      </c>
      <c r="AF60" s="146" t="e">
        <f t="shared" ca="1" si="104"/>
        <v>#REF!</v>
      </c>
      <c r="AI60" s="146" t="e">
        <f t="shared" ca="1" si="126"/>
        <v>#REF!</v>
      </c>
      <c r="AJ60" s="146" t="e">
        <f t="shared" ca="1" si="127"/>
        <v>#REF!</v>
      </c>
      <c r="AK60" s="146">
        <f t="shared" si="105"/>
        <v>0</v>
      </c>
      <c r="AL60" s="146">
        <f t="shared" si="80"/>
        <v>0</v>
      </c>
      <c r="AM60" s="146">
        <f t="shared" si="106"/>
        <v>0</v>
      </c>
      <c r="AN60" s="146">
        <f t="shared" si="81"/>
        <v>0</v>
      </c>
      <c r="AO60" s="146">
        <f t="shared" si="107"/>
        <v>0</v>
      </c>
      <c r="AP60" s="146">
        <f t="shared" si="82"/>
        <v>0</v>
      </c>
      <c r="AQ60" s="146">
        <f t="shared" si="108"/>
        <v>0</v>
      </c>
      <c r="AR60" s="146">
        <f t="shared" si="83"/>
        <v>0</v>
      </c>
      <c r="AS60" s="146">
        <f t="shared" si="109"/>
        <v>0</v>
      </c>
      <c r="AT60" s="146">
        <f t="shared" si="84"/>
        <v>0</v>
      </c>
      <c r="AU60" s="146">
        <f t="shared" si="110"/>
        <v>0</v>
      </c>
      <c r="AV60" s="146">
        <f t="shared" si="85"/>
        <v>0</v>
      </c>
      <c r="AW60" s="146">
        <f t="shared" si="111"/>
        <v>0</v>
      </c>
      <c r="AX60" s="146">
        <f t="shared" si="86"/>
        <v>0</v>
      </c>
      <c r="AY60" s="146">
        <f t="shared" si="112"/>
        <v>0</v>
      </c>
      <c r="AZ60" s="146">
        <f t="shared" si="87"/>
        <v>0</v>
      </c>
      <c r="BA60" s="146">
        <f t="shared" si="113"/>
        <v>0</v>
      </c>
      <c r="BB60" s="146">
        <f t="shared" si="88"/>
        <v>0</v>
      </c>
      <c r="BC60" s="146">
        <f t="shared" si="114"/>
        <v>0</v>
      </c>
      <c r="BD60" s="146">
        <f t="shared" si="89"/>
        <v>0</v>
      </c>
      <c r="BE60" s="146">
        <f t="shared" si="115"/>
        <v>0</v>
      </c>
      <c r="BF60" s="146">
        <f t="shared" si="90"/>
        <v>0</v>
      </c>
      <c r="BG60" s="146">
        <f t="shared" si="116"/>
        <v>31.6</v>
      </c>
      <c r="BH60" s="146">
        <f t="shared" si="91"/>
        <v>1</v>
      </c>
      <c r="BI60" s="146">
        <f t="shared" si="117"/>
        <v>0</v>
      </c>
      <c r="BJ60" s="146">
        <f t="shared" si="92"/>
        <v>0</v>
      </c>
      <c r="BK60" s="146">
        <f t="shared" si="118"/>
        <v>0</v>
      </c>
      <c r="BL60" s="146">
        <f t="shared" si="93"/>
        <v>0</v>
      </c>
      <c r="BM60" s="146">
        <f t="shared" si="119"/>
        <v>0</v>
      </c>
      <c r="BN60" s="146">
        <f t="shared" si="94"/>
        <v>0</v>
      </c>
      <c r="BO60" s="146">
        <f t="shared" si="120"/>
        <v>0</v>
      </c>
      <c r="BP60" s="146">
        <f t="shared" si="95"/>
        <v>0</v>
      </c>
      <c r="BQ60" s="146">
        <f t="shared" si="121"/>
        <v>0</v>
      </c>
      <c r="BR60" s="146">
        <f t="shared" si="96"/>
        <v>0</v>
      </c>
      <c r="BS60" s="146">
        <f t="shared" si="122"/>
        <v>0</v>
      </c>
      <c r="BT60" s="146">
        <f t="shared" si="97"/>
        <v>0</v>
      </c>
      <c r="BU60" s="146">
        <f t="shared" si="123"/>
        <v>0</v>
      </c>
      <c r="BV60" s="146">
        <f t="shared" si="98"/>
        <v>0</v>
      </c>
      <c r="BW60" s="146">
        <f t="shared" si="124"/>
        <v>0</v>
      </c>
      <c r="BX60" s="146">
        <f t="shared" si="99"/>
        <v>0</v>
      </c>
      <c r="BY60" s="146">
        <f t="shared" si="125"/>
        <v>0</v>
      </c>
      <c r="BZ60" s="146">
        <f t="shared" si="100"/>
        <v>0</v>
      </c>
      <c r="CA60" s="146">
        <v>55</v>
      </c>
      <c r="CB60" s="147">
        <v>939348</v>
      </c>
      <c r="CC60" s="147">
        <f t="shared" si="72"/>
        <v>4744</v>
      </c>
      <c r="CD60" s="148">
        <f t="shared" si="73"/>
        <v>5.0503114926523504E-3</v>
      </c>
      <c r="CE60" s="146">
        <v>27.2</v>
      </c>
      <c r="CF60" s="147">
        <v>965536</v>
      </c>
      <c r="CG60" s="147">
        <f t="shared" si="74"/>
        <v>2735</v>
      </c>
      <c r="CH60" s="149">
        <f t="shared" si="75"/>
        <v>2.8326235375998408E-3</v>
      </c>
      <c r="CI60" s="146">
        <v>31.6</v>
      </c>
      <c r="CJ60" s="146">
        <v>55</v>
      </c>
      <c r="CK60" s="146">
        <v>18.559999999999999</v>
      </c>
      <c r="CL60" s="146">
        <v>22.75</v>
      </c>
    </row>
    <row r="61" spans="1:102" s="146" customFormat="1" ht="13.5" customHeight="1" x14ac:dyDescent="0.35">
      <c r="C61" s="146" t="str">
        <f>C18</f>
        <v>NATALIA BENAVIDES OSORIO</v>
      </c>
      <c r="Q61" s="146">
        <f>+K57*O57+L57*O58</f>
        <v>13.228756555322953</v>
      </c>
      <c r="R61" s="146">
        <f>+K57*P57+L57*P58</f>
        <v>7.0000000000000009</v>
      </c>
      <c r="AF61" s="146" t="e">
        <f t="shared" ca="1" si="104"/>
        <v>#REF!</v>
      </c>
      <c r="AI61" s="146" t="e">
        <f t="shared" ca="1" si="126"/>
        <v>#REF!</v>
      </c>
      <c r="AJ61" s="146" t="e">
        <f t="shared" ca="1" si="127"/>
        <v>#REF!</v>
      </c>
      <c r="AK61" s="146">
        <f t="shared" si="105"/>
        <v>0</v>
      </c>
      <c r="AL61" s="146">
        <f t="shared" si="80"/>
        <v>0</v>
      </c>
      <c r="AM61" s="146">
        <f t="shared" si="106"/>
        <v>0</v>
      </c>
      <c r="AN61" s="146">
        <f t="shared" si="81"/>
        <v>0</v>
      </c>
      <c r="AO61" s="146">
        <f t="shared" si="107"/>
        <v>0</v>
      </c>
      <c r="AP61" s="146">
        <f t="shared" si="82"/>
        <v>0</v>
      </c>
      <c r="AQ61" s="146">
        <f t="shared" si="108"/>
        <v>0</v>
      </c>
      <c r="AR61" s="146">
        <f t="shared" si="83"/>
        <v>0</v>
      </c>
      <c r="AS61" s="146">
        <f t="shared" si="109"/>
        <v>0</v>
      </c>
      <c r="AT61" s="146">
        <f t="shared" si="84"/>
        <v>0</v>
      </c>
      <c r="AU61" s="146">
        <f t="shared" si="110"/>
        <v>0</v>
      </c>
      <c r="AV61" s="146">
        <f t="shared" si="85"/>
        <v>0</v>
      </c>
      <c r="AW61" s="146">
        <f t="shared" si="111"/>
        <v>0</v>
      </c>
      <c r="AX61" s="146">
        <f t="shared" si="86"/>
        <v>0</v>
      </c>
      <c r="AY61" s="146">
        <f t="shared" si="112"/>
        <v>0</v>
      </c>
      <c r="AZ61" s="146">
        <f t="shared" si="87"/>
        <v>0</v>
      </c>
      <c r="BA61" s="146">
        <f t="shared" si="113"/>
        <v>0</v>
      </c>
      <c r="BB61" s="146">
        <f t="shared" si="88"/>
        <v>0</v>
      </c>
      <c r="BC61" s="146">
        <f t="shared" si="114"/>
        <v>0</v>
      </c>
      <c r="BD61" s="146">
        <f t="shared" si="89"/>
        <v>0</v>
      </c>
      <c r="BE61" s="146">
        <f t="shared" si="115"/>
        <v>0</v>
      </c>
      <c r="BF61" s="146">
        <f t="shared" si="90"/>
        <v>0</v>
      </c>
      <c r="BG61" s="146">
        <f t="shared" si="116"/>
        <v>0</v>
      </c>
      <c r="BH61" s="146">
        <f t="shared" si="91"/>
        <v>0</v>
      </c>
      <c r="BI61" s="146">
        <f t="shared" si="117"/>
        <v>0</v>
      </c>
      <c r="BJ61" s="146">
        <f t="shared" si="92"/>
        <v>0</v>
      </c>
      <c r="BK61" s="146">
        <f t="shared" si="118"/>
        <v>0</v>
      </c>
      <c r="BL61" s="146">
        <f t="shared" si="93"/>
        <v>0</v>
      </c>
      <c r="BM61" s="146">
        <f t="shared" si="119"/>
        <v>0</v>
      </c>
      <c r="BN61" s="146">
        <f t="shared" si="94"/>
        <v>0</v>
      </c>
      <c r="BO61" s="146">
        <f t="shared" si="120"/>
        <v>0</v>
      </c>
      <c r="BP61" s="146">
        <f t="shared" si="95"/>
        <v>0</v>
      </c>
      <c r="BQ61" s="146">
        <f t="shared" si="121"/>
        <v>0</v>
      </c>
      <c r="BR61" s="146">
        <f t="shared" si="96"/>
        <v>0</v>
      </c>
      <c r="BS61" s="146">
        <f t="shared" si="122"/>
        <v>0</v>
      </c>
      <c r="BT61" s="146">
        <f t="shared" si="97"/>
        <v>0</v>
      </c>
      <c r="BU61" s="146">
        <f t="shared" si="123"/>
        <v>0</v>
      </c>
      <c r="BV61" s="146">
        <f t="shared" si="98"/>
        <v>0</v>
      </c>
      <c r="BW61" s="146">
        <f t="shared" si="124"/>
        <v>0</v>
      </c>
      <c r="BX61" s="146">
        <f t="shared" si="99"/>
        <v>0</v>
      </c>
      <c r="BY61" s="146">
        <f t="shared" si="125"/>
        <v>0</v>
      </c>
      <c r="BZ61" s="146">
        <f t="shared" si="100"/>
        <v>0</v>
      </c>
      <c r="CA61" s="146">
        <v>56</v>
      </c>
      <c r="CB61" s="147">
        <v>934604</v>
      </c>
      <c r="CC61" s="147">
        <f t="shared" si="72"/>
        <v>5106</v>
      </c>
      <c r="CD61" s="148">
        <f t="shared" si="73"/>
        <v>5.4632764250955486E-3</v>
      </c>
      <c r="CE61" s="146">
        <v>26.4</v>
      </c>
      <c r="CF61" s="147">
        <v>962801</v>
      </c>
      <c r="CG61" s="147">
        <f t="shared" si="74"/>
        <v>2950</v>
      </c>
      <c r="CH61" s="149">
        <f t="shared" si="75"/>
        <v>3.0639768758029956E-3</v>
      </c>
      <c r="CI61" s="146">
        <v>30.6</v>
      </c>
      <c r="CJ61" s="146">
        <v>56</v>
      </c>
      <c r="CK61" s="146">
        <v>18.04</v>
      </c>
      <c r="CL61" s="146">
        <v>22.1</v>
      </c>
    </row>
    <row r="62" spans="1:102" s="146" customFormat="1" ht="13.5" customHeight="1" x14ac:dyDescent="0.35">
      <c r="C62" s="146" t="str">
        <f>E18</f>
        <v>HIJO</v>
      </c>
      <c r="K62" s="146">
        <f>+L58/K60</f>
        <v>0.3779644730092272</v>
      </c>
      <c r="L62" s="146">
        <f>+L57/-K60</f>
        <v>0</v>
      </c>
      <c r="Q62" s="146">
        <f>+K58*O57+L58*O58</f>
        <v>12.937253933193773</v>
      </c>
      <c r="R62" s="146">
        <f>+K58*P57+L58*P58</f>
        <v>-12.35424868893541</v>
      </c>
      <c r="Z62" s="146">
        <f t="shared" ref="Z62:Z83" si="128">IF(H18="",1,IF(H18="M",1,IF(H18="H",1,0)))</f>
        <v>1</v>
      </c>
      <c r="AA62" s="146">
        <f t="shared" ref="AA62:AA80" si="129">IF($AA$60=AB62,AC62,0)</f>
        <v>0</v>
      </c>
      <c r="AB62" s="146">
        <v>2000</v>
      </c>
      <c r="AC62" s="150">
        <v>260100</v>
      </c>
      <c r="AD62" s="151"/>
      <c r="AE62" s="151"/>
      <c r="AF62" s="146" t="e">
        <f t="shared" ca="1" si="104"/>
        <v>#REF!</v>
      </c>
      <c r="AG62" s="151"/>
      <c r="AI62" s="146" t="e">
        <f t="shared" ca="1" si="126"/>
        <v>#REF!</v>
      </c>
      <c r="AJ62" s="146" t="e">
        <f t="shared" ca="1" si="127"/>
        <v>#REF!</v>
      </c>
      <c r="AK62" s="146">
        <f t="shared" si="105"/>
        <v>0</v>
      </c>
      <c r="AL62" s="146">
        <f t="shared" si="80"/>
        <v>0</v>
      </c>
      <c r="AM62" s="146">
        <f t="shared" si="106"/>
        <v>0</v>
      </c>
      <c r="AN62" s="146">
        <f t="shared" si="81"/>
        <v>0</v>
      </c>
      <c r="AO62" s="146">
        <f t="shared" si="107"/>
        <v>0</v>
      </c>
      <c r="AP62" s="146">
        <f t="shared" si="82"/>
        <v>0</v>
      </c>
      <c r="AQ62" s="146">
        <f t="shared" si="108"/>
        <v>0</v>
      </c>
      <c r="AR62" s="146">
        <f t="shared" si="83"/>
        <v>0</v>
      </c>
      <c r="AS62" s="146">
        <f t="shared" si="109"/>
        <v>0</v>
      </c>
      <c r="AT62" s="146">
        <f t="shared" si="84"/>
        <v>0</v>
      </c>
      <c r="AU62" s="146">
        <f t="shared" si="110"/>
        <v>0</v>
      </c>
      <c r="AV62" s="146">
        <f t="shared" si="85"/>
        <v>0</v>
      </c>
      <c r="AW62" s="146">
        <f t="shared" si="111"/>
        <v>0</v>
      </c>
      <c r="AX62" s="146">
        <f t="shared" si="86"/>
        <v>0</v>
      </c>
      <c r="AY62" s="146">
        <f t="shared" si="112"/>
        <v>0</v>
      </c>
      <c r="AZ62" s="146">
        <f t="shared" si="87"/>
        <v>0</v>
      </c>
      <c r="BA62" s="146">
        <f t="shared" si="113"/>
        <v>0</v>
      </c>
      <c r="BB62" s="146">
        <f t="shared" si="88"/>
        <v>0</v>
      </c>
      <c r="BC62" s="146">
        <f t="shared" si="114"/>
        <v>0</v>
      </c>
      <c r="BD62" s="146">
        <f t="shared" si="89"/>
        <v>0</v>
      </c>
      <c r="BE62" s="146">
        <f t="shared" si="115"/>
        <v>0</v>
      </c>
      <c r="BF62" s="146">
        <f t="shared" si="90"/>
        <v>0</v>
      </c>
      <c r="BG62" s="146">
        <f t="shared" si="116"/>
        <v>0</v>
      </c>
      <c r="BH62" s="146">
        <f t="shared" si="91"/>
        <v>0</v>
      </c>
      <c r="BI62" s="146">
        <f t="shared" si="117"/>
        <v>0</v>
      </c>
      <c r="BJ62" s="146">
        <f t="shared" si="92"/>
        <v>0</v>
      </c>
      <c r="BK62" s="146">
        <f t="shared" si="118"/>
        <v>0</v>
      </c>
      <c r="BL62" s="146">
        <f t="shared" si="93"/>
        <v>0</v>
      </c>
      <c r="BM62" s="146">
        <f t="shared" si="119"/>
        <v>0</v>
      </c>
      <c r="BN62" s="146">
        <f t="shared" si="94"/>
        <v>0</v>
      </c>
      <c r="BO62" s="146">
        <f t="shared" si="120"/>
        <v>0</v>
      </c>
      <c r="BP62" s="146">
        <f t="shared" si="95"/>
        <v>0</v>
      </c>
      <c r="BQ62" s="146">
        <f t="shared" si="121"/>
        <v>0</v>
      </c>
      <c r="BR62" s="146">
        <f t="shared" si="96"/>
        <v>0</v>
      </c>
      <c r="BS62" s="146">
        <f t="shared" si="122"/>
        <v>0</v>
      </c>
      <c r="BT62" s="146">
        <f t="shared" si="97"/>
        <v>0</v>
      </c>
      <c r="BU62" s="146">
        <f t="shared" si="123"/>
        <v>0</v>
      </c>
      <c r="BV62" s="146">
        <f t="shared" si="98"/>
        <v>0</v>
      </c>
      <c r="BW62" s="146">
        <f t="shared" si="124"/>
        <v>0</v>
      </c>
      <c r="BX62" s="146">
        <f t="shared" si="99"/>
        <v>0</v>
      </c>
      <c r="BY62" s="146">
        <f t="shared" si="125"/>
        <v>0</v>
      </c>
      <c r="BZ62" s="146">
        <f t="shared" si="100"/>
        <v>0</v>
      </c>
      <c r="CA62" s="146">
        <v>57</v>
      </c>
      <c r="CB62" s="147">
        <v>929498</v>
      </c>
      <c r="CC62" s="147">
        <f t="shared" si="72"/>
        <v>5507</v>
      </c>
      <c r="CD62" s="148">
        <f t="shared" si="73"/>
        <v>5.9247034420730326E-3</v>
      </c>
      <c r="CE62" s="146">
        <v>25.5</v>
      </c>
      <c r="CF62" s="147">
        <v>959851</v>
      </c>
      <c r="CG62" s="147">
        <f t="shared" si="74"/>
        <v>3189</v>
      </c>
      <c r="CH62" s="149">
        <f t="shared" si="75"/>
        <v>3.3223906627174427E-3</v>
      </c>
      <c r="CI62" s="146">
        <v>29.7</v>
      </c>
      <c r="CJ62" s="146">
        <v>57</v>
      </c>
      <c r="CK62" s="146">
        <v>17.52</v>
      </c>
      <c r="CL62" s="146">
        <v>21.45</v>
      </c>
    </row>
    <row r="63" spans="1:102" s="146" customFormat="1" ht="13.5" customHeight="1" x14ac:dyDescent="0.35">
      <c r="G63" s="146" t="s">
        <v>123</v>
      </c>
      <c r="K63" s="146">
        <f>+K58/-K60</f>
        <v>0.12598815766974239</v>
      </c>
      <c r="L63" s="146">
        <f>+K57/K60</f>
        <v>-0.33333333333333331</v>
      </c>
      <c r="Z63" s="146">
        <f t="shared" si="128"/>
        <v>1</v>
      </c>
      <c r="AA63" s="146">
        <f t="shared" si="129"/>
        <v>0</v>
      </c>
      <c r="AB63" s="146">
        <v>2001</v>
      </c>
      <c r="AC63" s="150">
        <v>286000</v>
      </c>
      <c r="AD63" s="151"/>
      <c r="AE63" s="151"/>
      <c r="AF63" s="146" t="e">
        <f t="shared" ca="1" si="104"/>
        <v>#REF!</v>
      </c>
      <c r="AG63" s="151"/>
      <c r="AI63" s="146" t="e">
        <f t="shared" ca="1" si="126"/>
        <v>#REF!</v>
      </c>
      <c r="AJ63" s="146" t="e">
        <f t="shared" ca="1" si="127"/>
        <v>#REF!</v>
      </c>
      <c r="AK63" s="146">
        <f t="shared" si="105"/>
        <v>0</v>
      </c>
      <c r="AL63" s="146">
        <f t="shared" si="80"/>
        <v>0</v>
      </c>
      <c r="AM63" s="146">
        <f t="shared" si="106"/>
        <v>0</v>
      </c>
      <c r="AN63" s="146">
        <f t="shared" si="81"/>
        <v>0</v>
      </c>
      <c r="AO63" s="146">
        <f t="shared" si="107"/>
        <v>0</v>
      </c>
      <c r="AP63" s="146">
        <f t="shared" si="82"/>
        <v>0</v>
      </c>
      <c r="AQ63" s="146">
        <f t="shared" si="108"/>
        <v>0</v>
      </c>
      <c r="AR63" s="146">
        <f t="shared" si="83"/>
        <v>0</v>
      </c>
      <c r="AS63" s="146">
        <f t="shared" si="109"/>
        <v>0</v>
      </c>
      <c r="AT63" s="146">
        <f t="shared" si="84"/>
        <v>0</v>
      </c>
      <c r="AU63" s="146">
        <f t="shared" si="110"/>
        <v>0</v>
      </c>
      <c r="AV63" s="146">
        <f t="shared" si="85"/>
        <v>0</v>
      </c>
      <c r="AW63" s="146">
        <f t="shared" si="111"/>
        <v>0</v>
      </c>
      <c r="AX63" s="146">
        <f t="shared" si="86"/>
        <v>0</v>
      </c>
      <c r="AY63" s="146">
        <f t="shared" si="112"/>
        <v>0</v>
      </c>
      <c r="AZ63" s="146">
        <f t="shared" si="87"/>
        <v>0</v>
      </c>
      <c r="BA63" s="146">
        <f t="shared" si="113"/>
        <v>0</v>
      </c>
      <c r="BB63" s="146">
        <f t="shared" si="88"/>
        <v>0</v>
      </c>
      <c r="BC63" s="146">
        <f t="shared" si="114"/>
        <v>0</v>
      </c>
      <c r="BD63" s="146">
        <f t="shared" si="89"/>
        <v>0</v>
      </c>
      <c r="BE63" s="146">
        <f t="shared" si="115"/>
        <v>0</v>
      </c>
      <c r="BF63" s="146">
        <f t="shared" si="90"/>
        <v>0</v>
      </c>
      <c r="BG63" s="146">
        <f t="shared" si="116"/>
        <v>0</v>
      </c>
      <c r="BH63" s="146">
        <f t="shared" si="91"/>
        <v>0</v>
      </c>
      <c r="BI63" s="146">
        <f t="shared" si="117"/>
        <v>24.6</v>
      </c>
      <c r="BJ63" s="146">
        <f t="shared" si="92"/>
        <v>1</v>
      </c>
      <c r="BK63" s="146">
        <f t="shared" si="118"/>
        <v>0</v>
      </c>
      <c r="BL63" s="146">
        <f t="shared" si="93"/>
        <v>0</v>
      </c>
      <c r="BM63" s="146">
        <f t="shared" si="119"/>
        <v>0</v>
      </c>
      <c r="BN63" s="146">
        <f t="shared" si="94"/>
        <v>0</v>
      </c>
      <c r="BO63" s="146">
        <f t="shared" si="120"/>
        <v>0</v>
      </c>
      <c r="BP63" s="146">
        <f t="shared" si="95"/>
        <v>0</v>
      </c>
      <c r="BQ63" s="146">
        <f t="shared" si="121"/>
        <v>0</v>
      </c>
      <c r="BR63" s="146">
        <f t="shared" si="96"/>
        <v>0</v>
      </c>
      <c r="BS63" s="146">
        <f t="shared" si="122"/>
        <v>0</v>
      </c>
      <c r="BT63" s="146">
        <f t="shared" si="97"/>
        <v>0</v>
      </c>
      <c r="BU63" s="146">
        <f t="shared" si="123"/>
        <v>0</v>
      </c>
      <c r="BV63" s="146">
        <f t="shared" si="98"/>
        <v>0</v>
      </c>
      <c r="BW63" s="146">
        <f t="shared" si="124"/>
        <v>0</v>
      </c>
      <c r="BX63" s="146">
        <f t="shared" si="99"/>
        <v>0</v>
      </c>
      <c r="BY63" s="146">
        <f t="shared" si="125"/>
        <v>0</v>
      </c>
      <c r="BZ63" s="146">
        <f t="shared" si="100"/>
        <v>0</v>
      </c>
      <c r="CA63" s="146">
        <v>58</v>
      </c>
      <c r="CB63" s="147">
        <v>923991</v>
      </c>
      <c r="CC63" s="147">
        <f t="shared" si="72"/>
        <v>5952</v>
      </c>
      <c r="CD63" s="148">
        <f t="shared" si="73"/>
        <v>6.4416211846219278E-3</v>
      </c>
      <c r="CE63" s="146">
        <v>24.6</v>
      </c>
      <c r="CF63" s="147">
        <v>956662</v>
      </c>
      <c r="CG63" s="147">
        <f t="shared" si="74"/>
        <v>3456</v>
      </c>
      <c r="CH63" s="149">
        <f t="shared" si="75"/>
        <v>3.6125611762566089E-3</v>
      </c>
      <c r="CI63" s="146">
        <v>28.8</v>
      </c>
      <c r="CJ63" s="146">
        <v>58</v>
      </c>
      <c r="CK63" s="146">
        <v>17</v>
      </c>
      <c r="CL63" s="146">
        <v>20.81</v>
      </c>
    </row>
    <row r="64" spans="1:102" s="146" customFormat="1" ht="13.5" customHeight="1" x14ac:dyDescent="0.35">
      <c r="D64" s="146" t="s">
        <v>43</v>
      </c>
      <c r="G64" s="146" t="str">
        <f>IF(T6="SI",G63,"")</f>
        <v/>
      </c>
      <c r="Z64" s="146">
        <f t="shared" si="128"/>
        <v>1</v>
      </c>
      <c r="AA64" s="146">
        <f t="shared" si="129"/>
        <v>0</v>
      </c>
      <c r="AB64" s="146">
        <v>2002</v>
      </c>
      <c r="AC64" s="150">
        <v>309000</v>
      </c>
      <c r="AD64" s="151"/>
      <c r="AE64" s="151"/>
      <c r="AF64" s="146" t="e">
        <f t="shared" ca="1" si="104"/>
        <v>#REF!</v>
      </c>
      <c r="AG64" s="151"/>
      <c r="AI64" s="146" t="e">
        <f t="shared" ca="1" si="126"/>
        <v>#REF!</v>
      </c>
      <c r="AJ64" s="146" t="e">
        <f t="shared" ca="1" si="127"/>
        <v>#REF!</v>
      </c>
      <c r="AK64" s="146">
        <f t="shared" si="105"/>
        <v>0</v>
      </c>
      <c r="AL64" s="146">
        <f t="shared" si="80"/>
        <v>0</v>
      </c>
      <c r="AM64" s="146">
        <f t="shared" si="106"/>
        <v>0</v>
      </c>
      <c r="AN64" s="146">
        <f t="shared" si="81"/>
        <v>0</v>
      </c>
      <c r="AO64" s="146">
        <f t="shared" si="107"/>
        <v>0</v>
      </c>
      <c r="AP64" s="146">
        <f t="shared" si="82"/>
        <v>0</v>
      </c>
      <c r="AQ64" s="146">
        <f t="shared" si="108"/>
        <v>0</v>
      </c>
      <c r="AR64" s="146">
        <f t="shared" si="83"/>
        <v>0</v>
      </c>
      <c r="AS64" s="146">
        <f t="shared" si="109"/>
        <v>0</v>
      </c>
      <c r="AT64" s="146">
        <f t="shared" si="84"/>
        <v>0</v>
      </c>
      <c r="AU64" s="146">
        <f t="shared" si="110"/>
        <v>0</v>
      </c>
      <c r="AV64" s="146">
        <f t="shared" si="85"/>
        <v>0</v>
      </c>
      <c r="AW64" s="146">
        <f t="shared" si="111"/>
        <v>0</v>
      </c>
      <c r="AX64" s="146">
        <f t="shared" si="86"/>
        <v>0</v>
      </c>
      <c r="AY64" s="146">
        <f t="shared" si="112"/>
        <v>0</v>
      </c>
      <c r="AZ64" s="146">
        <f t="shared" si="87"/>
        <v>0</v>
      </c>
      <c r="BA64" s="146">
        <f t="shared" si="113"/>
        <v>0</v>
      </c>
      <c r="BB64" s="146">
        <f t="shared" si="88"/>
        <v>0</v>
      </c>
      <c r="BC64" s="146">
        <f t="shared" si="114"/>
        <v>0</v>
      </c>
      <c r="BD64" s="146">
        <f t="shared" si="89"/>
        <v>0</v>
      </c>
      <c r="BE64" s="146">
        <f t="shared" si="115"/>
        <v>0</v>
      </c>
      <c r="BF64" s="146">
        <f t="shared" si="90"/>
        <v>0</v>
      </c>
      <c r="BG64" s="146">
        <f t="shared" si="116"/>
        <v>0</v>
      </c>
      <c r="BH64" s="146">
        <f t="shared" si="91"/>
        <v>0</v>
      </c>
      <c r="BI64" s="146">
        <f t="shared" si="117"/>
        <v>0</v>
      </c>
      <c r="BJ64" s="146">
        <f t="shared" si="92"/>
        <v>0</v>
      </c>
      <c r="BK64" s="146">
        <f t="shared" si="118"/>
        <v>0</v>
      </c>
      <c r="BL64" s="146">
        <f t="shared" si="93"/>
        <v>0</v>
      </c>
      <c r="BM64" s="146">
        <f t="shared" si="119"/>
        <v>0</v>
      </c>
      <c r="BN64" s="146">
        <f t="shared" si="94"/>
        <v>0</v>
      </c>
      <c r="BO64" s="146">
        <f t="shared" si="120"/>
        <v>0</v>
      </c>
      <c r="BP64" s="146">
        <f t="shared" si="95"/>
        <v>0</v>
      </c>
      <c r="BQ64" s="146">
        <f t="shared" si="121"/>
        <v>0</v>
      </c>
      <c r="BR64" s="146">
        <f t="shared" si="96"/>
        <v>0</v>
      </c>
      <c r="BS64" s="146">
        <f t="shared" si="122"/>
        <v>0</v>
      </c>
      <c r="BT64" s="146">
        <f t="shared" si="97"/>
        <v>0</v>
      </c>
      <c r="BU64" s="146">
        <f t="shared" si="123"/>
        <v>0</v>
      </c>
      <c r="BV64" s="146">
        <f t="shared" si="98"/>
        <v>0</v>
      </c>
      <c r="BW64" s="146">
        <f t="shared" si="124"/>
        <v>0</v>
      </c>
      <c r="BX64" s="146">
        <f t="shared" si="99"/>
        <v>0</v>
      </c>
      <c r="BY64" s="146">
        <f t="shared" si="125"/>
        <v>0</v>
      </c>
      <c r="BZ64" s="146">
        <f t="shared" si="100"/>
        <v>0</v>
      </c>
      <c r="CA64" s="146">
        <v>59</v>
      </c>
      <c r="CB64" s="147">
        <v>918039</v>
      </c>
      <c r="CC64" s="147">
        <f t="shared" si="72"/>
        <v>6444</v>
      </c>
      <c r="CD64" s="148">
        <f t="shared" si="73"/>
        <v>7.0193096371722772E-3</v>
      </c>
      <c r="CE64" s="146">
        <v>23.8</v>
      </c>
      <c r="CF64" s="147">
        <v>953206</v>
      </c>
      <c r="CG64" s="147">
        <f t="shared" si="74"/>
        <v>3752</v>
      </c>
      <c r="CH64" s="149">
        <f t="shared" si="75"/>
        <v>3.936190078534965E-3</v>
      </c>
      <c r="CI64" s="146">
        <v>27.9</v>
      </c>
      <c r="CJ64" s="146">
        <v>59</v>
      </c>
      <c r="CK64" s="146">
        <v>16.489999999999998</v>
      </c>
      <c r="CL64" s="146">
        <v>20.16</v>
      </c>
    </row>
    <row r="65" spans="3:90" s="146" customFormat="1" ht="13.5" customHeight="1" x14ac:dyDescent="0.35">
      <c r="C65" s="152">
        <f ca="1">K43</f>
        <v>12170474.8926144</v>
      </c>
      <c r="D65" s="146" t="s">
        <v>44</v>
      </c>
      <c r="Q65" s="146">
        <f>+Q61*K62+R61*K63</f>
        <v>5.8819171036881963</v>
      </c>
      <c r="R65" s="146">
        <f>+Q61*L62+R61*L63</f>
        <v>-2.3333333333333335</v>
      </c>
      <c r="Z65" s="146">
        <f t="shared" si="128"/>
        <v>1</v>
      </c>
      <c r="AA65" s="146">
        <f t="shared" si="129"/>
        <v>0</v>
      </c>
      <c r="AB65" s="146">
        <v>2003</v>
      </c>
      <c r="AC65" s="150">
        <v>332000</v>
      </c>
      <c r="AD65" s="151"/>
      <c r="AE65" s="151"/>
      <c r="AF65" s="146" t="e">
        <f t="shared" ca="1" si="104"/>
        <v>#REF!</v>
      </c>
      <c r="AG65" s="151"/>
      <c r="AI65" s="146" t="e">
        <f t="shared" ca="1" si="126"/>
        <v>#REF!</v>
      </c>
      <c r="AJ65" s="146" t="e">
        <f t="shared" ca="1" si="127"/>
        <v>#REF!</v>
      </c>
      <c r="AK65" s="146">
        <f t="shared" si="105"/>
        <v>0</v>
      </c>
      <c r="AL65" s="146">
        <f t="shared" si="80"/>
        <v>0</v>
      </c>
      <c r="AM65" s="146">
        <f t="shared" si="106"/>
        <v>0</v>
      </c>
      <c r="AN65" s="146">
        <f t="shared" si="81"/>
        <v>0</v>
      </c>
      <c r="AO65" s="146">
        <f t="shared" si="107"/>
        <v>0</v>
      </c>
      <c r="AP65" s="146">
        <f t="shared" si="82"/>
        <v>0</v>
      </c>
      <c r="AQ65" s="146">
        <f t="shared" si="108"/>
        <v>0</v>
      </c>
      <c r="AR65" s="146">
        <f t="shared" si="83"/>
        <v>0</v>
      </c>
      <c r="AS65" s="146">
        <f t="shared" si="109"/>
        <v>0</v>
      </c>
      <c r="AT65" s="146">
        <f t="shared" si="84"/>
        <v>0</v>
      </c>
      <c r="AU65" s="146">
        <f t="shared" si="110"/>
        <v>0</v>
      </c>
      <c r="AV65" s="146">
        <f t="shared" si="85"/>
        <v>0</v>
      </c>
      <c r="AW65" s="146">
        <f t="shared" si="111"/>
        <v>0</v>
      </c>
      <c r="AX65" s="146">
        <f t="shared" si="86"/>
        <v>0</v>
      </c>
      <c r="AY65" s="146">
        <f t="shared" si="112"/>
        <v>0</v>
      </c>
      <c r="AZ65" s="146">
        <f t="shared" si="87"/>
        <v>0</v>
      </c>
      <c r="BA65" s="146">
        <f t="shared" si="113"/>
        <v>0</v>
      </c>
      <c r="BB65" s="146">
        <f t="shared" si="88"/>
        <v>0</v>
      </c>
      <c r="BC65" s="146">
        <f t="shared" si="114"/>
        <v>0</v>
      </c>
      <c r="BD65" s="146">
        <f t="shared" si="89"/>
        <v>0</v>
      </c>
      <c r="BE65" s="146">
        <f t="shared" si="115"/>
        <v>0</v>
      </c>
      <c r="BF65" s="146">
        <f t="shared" si="90"/>
        <v>0</v>
      </c>
      <c r="BG65" s="146">
        <f t="shared" si="116"/>
        <v>0</v>
      </c>
      <c r="BH65" s="146">
        <f t="shared" si="91"/>
        <v>0</v>
      </c>
      <c r="BI65" s="146">
        <f t="shared" si="117"/>
        <v>0</v>
      </c>
      <c r="BJ65" s="146">
        <f t="shared" si="92"/>
        <v>0</v>
      </c>
      <c r="BK65" s="146">
        <f t="shared" si="118"/>
        <v>0</v>
      </c>
      <c r="BL65" s="146">
        <f t="shared" si="93"/>
        <v>0</v>
      </c>
      <c r="BM65" s="146">
        <f t="shared" si="119"/>
        <v>23</v>
      </c>
      <c r="BN65" s="146">
        <f t="shared" si="94"/>
        <v>1</v>
      </c>
      <c r="BO65" s="146">
        <f t="shared" si="120"/>
        <v>0</v>
      </c>
      <c r="BP65" s="146">
        <f t="shared" si="95"/>
        <v>0</v>
      </c>
      <c r="BQ65" s="146">
        <f t="shared" si="121"/>
        <v>0</v>
      </c>
      <c r="BR65" s="146">
        <f t="shared" si="96"/>
        <v>0</v>
      </c>
      <c r="BS65" s="146">
        <f t="shared" si="122"/>
        <v>0</v>
      </c>
      <c r="BT65" s="146">
        <f t="shared" si="97"/>
        <v>0</v>
      </c>
      <c r="BU65" s="146">
        <f t="shared" si="123"/>
        <v>0</v>
      </c>
      <c r="BV65" s="146">
        <f t="shared" si="98"/>
        <v>0</v>
      </c>
      <c r="BW65" s="146">
        <f t="shared" si="124"/>
        <v>0</v>
      </c>
      <c r="BX65" s="146">
        <f t="shared" si="99"/>
        <v>0</v>
      </c>
      <c r="BY65" s="146">
        <f t="shared" si="125"/>
        <v>27</v>
      </c>
      <c r="BZ65" s="146">
        <f t="shared" si="100"/>
        <v>1</v>
      </c>
      <c r="CA65" s="146">
        <v>60</v>
      </c>
      <c r="CB65" s="147">
        <v>911595</v>
      </c>
      <c r="CC65" s="147">
        <f t="shared" si="72"/>
        <v>6988</v>
      </c>
      <c r="CD65" s="148">
        <f t="shared" si="73"/>
        <v>7.6656848710227677E-3</v>
      </c>
      <c r="CE65" s="146">
        <v>23</v>
      </c>
      <c r="CF65" s="147">
        <v>949454</v>
      </c>
      <c r="CG65" s="147">
        <f t="shared" si="74"/>
        <v>4082</v>
      </c>
      <c r="CH65" s="149">
        <f t="shared" si="75"/>
        <v>4.2993130788853383E-3</v>
      </c>
      <c r="CI65" s="146">
        <v>27</v>
      </c>
      <c r="CJ65" s="146">
        <v>60</v>
      </c>
      <c r="CK65" s="146">
        <v>15.97</v>
      </c>
      <c r="CL65" s="146">
        <v>19.52</v>
      </c>
    </row>
    <row r="66" spans="3:90" s="146" customFormat="1" ht="13.5" customHeight="1" x14ac:dyDescent="0.35">
      <c r="C66" s="152">
        <f>M43</f>
        <v>810000000</v>
      </c>
      <c r="D66" s="146" t="s">
        <v>45</v>
      </c>
      <c r="Q66" s="146">
        <f>+Q62*K62+R62*K63</f>
        <v>3.3333333333333335</v>
      </c>
      <c r="R66" s="146">
        <f>+Q62*L62+R62*L63</f>
        <v>4.1180828963118028</v>
      </c>
      <c r="Z66" s="146">
        <f t="shared" si="128"/>
        <v>1</v>
      </c>
      <c r="AA66" s="146">
        <f t="shared" si="129"/>
        <v>0</v>
      </c>
      <c r="AB66" s="146">
        <v>2004</v>
      </c>
      <c r="AC66" s="150">
        <v>358000</v>
      </c>
      <c r="AD66" s="151"/>
      <c r="AE66" s="151"/>
      <c r="AG66" s="151"/>
      <c r="AH66" s="151"/>
      <c r="AI66" s="146" t="e">
        <f t="shared" ca="1" si="126"/>
        <v>#REF!</v>
      </c>
      <c r="AJ66" s="146" t="e">
        <f t="shared" ca="1" si="127"/>
        <v>#REF!</v>
      </c>
      <c r="AK66" s="146">
        <f t="shared" si="105"/>
        <v>0</v>
      </c>
      <c r="AL66" s="146">
        <f t="shared" si="80"/>
        <v>0</v>
      </c>
      <c r="AM66" s="146">
        <f t="shared" si="106"/>
        <v>0</v>
      </c>
      <c r="AN66" s="146">
        <f t="shared" si="81"/>
        <v>0</v>
      </c>
      <c r="AO66" s="146">
        <f t="shared" si="107"/>
        <v>0</v>
      </c>
      <c r="AP66" s="146">
        <f t="shared" si="82"/>
        <v>0</v>
      </c>
      <c r="AQ66" s="146">
        <f t="shared" si="108"/>
        <v>0</v>
      </c>
      <c r="AR66" s="146">
        <f t="shared" si="83"/>
        <v>0</v>
      </c>
      <c r="AS66" s="146">
        <f t="shared" si="109"/>
        <v>0</v>
      </c>
      <c r="AT66" s="146">
        <f t="shared" si="84"/>
        <v>0</v>
      </c>
      <c r="AU66" s="146">
        <f t="shared" si="110"/>
        <v>0</v>
      </c>
      <c r="AV66" s="146">
        <f t="shared" si="85"/>
        <v>0</v>
      </c>
      <c r="AW66" s="146">
        <f t="shared" si="111"/>
        <v>0</v>
      </c>
      <c r="AX66" s="146">
        <f t="shared" si="86"/>
        <v>0</v>
      </c>
      <c r="AY66" s="146">
        <f t="shared" si="112"/>
        <v>0</v>
      </c>
      <c r="AZ66" s="146">
        <f t="shared" si="87"/>
        <v>0</v>
      </c>
      <c r="BA66" s="146">
        <f t="shared" si="113"/>
        <v>0</v>
      </c>
      <c r="BB66" s="146">
        <f t="shared" si="88"/>
        <v>0</v>
      </c>
      <c r="BC66" s="146">
        <f t="shared" si="114"/>
        <v>0</v>
      </c>
      <c r="BD66" s="146">
        <f t="shared" si="89"/>
        <v>0</v>
      </c>
      <c r="BE66" s="146">
        <f t="shared" si="115"/>
        <v>0</v>
      </c>
      <c r="BF66" s="146">
        <f t="shared" si="90"/>
        <v>0</v>
      </c>
      <c r="BG66" s="146">
        <f t="shared" si="116"/>
        <v>0</v>
      </c>
      <c r="BH66" s="146">
        <f t="shared" si="91"/>
        <v>0</v>
      </c>
      <c r="BI66" s="146">
        <f t="shared" si="117"/>
        <v>0</v>
      </c>
      <c r="BJ66" s="146">
        <f t="shared" si="92"/>
        <v>0</v>
      </c>
      <c r="BK66" s="146">
        <f t="shared" si="118"/>
        <v>0</v>
      </c>
      <c r="BL66" s="146">
        <f t="shared" si="93"/>
        <v>0</v>
      </c>
      <c r="BM66" s="146">
        <f t="shared" si="119"/>
        <v>0</v>
      </c>
      <c r="BN66" s="146">
        <f t="shared" si="94"/>
        <v>0</v>
      </c>
      <c r="BO66" s="146">
        <f t="shared" si="120"/>
        <v>0</v>
      </c>
      <c r="BP66" s="146">
        <f t="shared" si="95"/>
        <v>0</v>
      </c>
      <c r="BQ66" s="146">
        <f t="shared" si="121"/>
        <v>0</v>
      </c>
      <c r="BR66" s="146">
        <f t="shared" si="96"/>
        <v>0</v>
      </c>
      <c r="BS66" s="146">
        <f t="shared" si="122"/>
        <v>0</v>
      </c>
      <c r="BT66" s="146">
        <f t="shared" si="97"/>
        <v>0</v>
      </c>
      <c r="BU66" s="146">
        <f t="shared" si="123"/>
        <v>0</v>
      </c>
      <c r="BV66" s="146">
        <f t="shared" si="98"/>
        <v>0</v>
      </c>
      <c r="BW66" s="146">
        <f t="shared" si="124"/>
        <v>0</v>
      </c>
      <c r="BX66" s="146">
        <f t="shared" si="99"/>
        <v>0</v>
      </c>
      <c r="BY66" s="146">
        <f t="shared" si="125"/>
        <v>0</v>
      </c>
      <c r="BZ66" s="146">
        <f t="shared" si="100"/>
        <v>0</v>
      </c>
      <c r="CA66" s="146">
        <v>61</v>
      </c>
      <c r="CB66" s="147">
        <v>904607</v>
      </c>
      <c r="CC66" s="147">
        <f t="shared" si="72"/>
        <v>7588</v>
      </c>
      <c r="CD66" s="148">
        <f t="shared" si="73"/>
        <v>8.3881729856169589E-3</v>
      </c>
      <c r="CE66" s="146">
        <v>22.1</v>
      </c>
      <c r="CF66" s="147">
        <v>945372</v>
      </c>
      <c r="CG66" s="147">
        <f t="shared" si="74"/>
        <v>4447</v>
      </c>
      <c r="CH66" s="149">
        <f t="shared" si="75"/>
        <v>4.7039683849320691E-3</v>
      </c>
      <c r="CI66" s="146">
        <v>26.2</v>
      </c>
      <c r="CJ66" s="146">
        <v>61</v>
      </c>
      <c r="CK66" s="146">
        <v>15.46</v>
      </c>
      <c r="CL66" s="146">
        <v>18.88</v>
      </c>
    </row>
    <row r="67" spans="3:90" s="146" customFormat="1" ht="13.5" customHeight="1" x14ac:dyDescent="0.35">
      <c r="C67" s="152">
        <f ca="1">O43</f>
        <v>822170474.89261436</v>
      </c>
      <c r="D67" s="146" t="s">
        <v>46</v>
      </c>
      <c r="K67" s="146" t="s">
        <v>124</v>
      </c>
      <c r="M67" s="147" t="e">
        <f>+IF(#REF!="","",IF(#REF!="","",(#REF!+#REF!)*#REF!/100))</f>
        <v>#REF!</v>
      </c>
      <c r="T67" s="146" t="s">
        <v>125</v>
      </c>
      <c r="W67" s="146" t="str">
        <f>IF($T$6="SI",T67,"")</f>
        <v/>
      </c>
      <c r="Z67" s="146">
        <f t="shared" si="128"/>
        <v>1</v>
      </c>
      <c r="AA67" s="146">
        <f>IF($AA$60=AB67,AC67,0)</f>
        <v>0</v>
      </c>
      <c r="AB67" s="146">
        <v>2005</v>
      </c>
      <c r="AC67" s="150">
        <v>381500</v>
      </c>
      <c r="AD67" s="151"/>
      <c r="AE67" s="151"/>
      <c r="AF67" s="146" t="e">
        <f ca="1">+AJ54+Q103</f>
        <v>#REF!</v>
      </c>
      <c r="AG67" s="151"/>
      <c r="AH67" s="151"/>
      <c r="AI67" s="146" t="e">
        <f t="shared" ca="1" si="126"/>
        <v>#REF!</v>
      </c>
      <c r="AJ67" s="146" t="e">
        <f t="shared" ca="1" si="127"/>
        <v>#REF!</v>
      </c>
      <c r="AK67" s="146">
        <f t="shared" si="105"/>
        <v>0</v>
      </c>
      <c r="AL67" s="146">
        <f t="shared" si="80"/>
        <v>0</v>
      </c>
      <c r="AM67" s="146">
        <f t="shared" si="106"/>
        <v>0</v>
      </c>
      <c r="AN67" s="146">
        <f t="shared" si="81"/>
        <v>0</v>
      </c>
      <c r="AO67" s="146">
        <f t="shared" si="107"/>
        <v>0</v>
      </c>
      <c r="AP67" s="146">
        <f t="shared" si="82"/>
        <v>0</v>
      </c>
      <c r="AQ67" s="146">
        <f t="shared" si="108"/>
        <v>0</v>
      </c>
      <c r="AR67" s="146">
        <f t="shared" si="83"/>
        <v>0</v>
      </c>
      <c r="AS67" s="146">
        <f t="shared" si="109"/>
        <v>0</v>
      </c>
      <c r="AT67" s="146">
        <f t="shared" si="84"/>
        <v>0</v>
      </c>
      <c r="AU67" s="146">
        <f t="shared" si="110"/>
        <v>0</v>
      </c>
      <c r="AV67" s="146">
        <f t="shared" si="85"/>
        <v>0</v>
      </c>
      <c r="AW67" s="146">
        <f t="shared" si="111"/>
        <v>0</v>
      </c>
      <c r="AX67" s="146">
        <f t="shared" si="86"/>
        <v>0</v>
      </c>
      <c r="AY67" s="146">
        <f t="shared" si="112"/>
        <v>0</v>
      </c>
      <c r="AZ67" s="146">
        <f t="shared" si="87"/>
        <v>0</v>
      </c>
      <c r="BA67" s="146">
        <f t="shared" si="113"/>
        <v>0</v>
      </c>
      <c r="BB67" s="146">
        <f t="shared" si="88"/>
        <v>0</v>
      </c>
      <c r="BC67" s="146">
        <f t="shared" si="114"/>
        <v>0</v>
      </c>
      <c r="BD67" s="146">
        <f t="shared" si="89"/>
        <v>0</v>
      </c>
      <c r="BE67" s="146">
        <f t="shared" si="115"/>
        <v>0</v>
      </c>
      <c r="BF67" s="146">
        <f t="shared" si="90"/>
        <v>0</v>
      </c>
      <c r="BG67" s="146">
        <f t="shared" si="116"/>
        <v>0</v>
      </c>
      <c r="BH67" s="146">
        <f t="shared" si="91"/>
        <v>0</v>
      </c>
      <c r="BI67" s="146">
        <f t="shared" si="117"/>
        <v>0</v>
      </c>
      <c r="BJ67" s="146">
        <f t="shared" si="92"/>
        <v>0</v>
      </c>
      <c r="BK67" s="146">
        <f t="shared" si="118"/>
        <v>0</v>
      </c>
      <c r="BL67" s="146">
        <f t="shared" si="93"/>
        <v>0</v>
      </c>
      <c r="BM67" s="146">
        <f t="shared" si="119"/>
        <v>0</v>
      </c>
      <c r="BN67" s="146">
        <f t="shared" si="94"/>
        <v>0</v>
      </c>
      <c r="BO67" s="146">
        <f t="shared" si="120"/>
        <v>0</v>
      </c>
      <c r="BP67" s="146">
        <f t="shared" si="95"/>
        <v>0</v>
      </c>
      <c r="BQ67" s="146">
        <f t="shared" si="121"/>
        <v>0</v>
      </c>
      <c r="BR67" s="146">
        <f t="shared" si="96"/>
        <v>0</v>
      </c>
      <c r="BS67" s="146">
        <f t="shared" si="122"/>
        <v>0</v>
      </c>
      <c r="BT67" s="146">
        <f t="shared" si="97"/>
        <v>0</v>
      </c>
      <c r="BU67" s="146">
        <f t="shared" si="123"/>
        <v>0</v>
      </c>
      <c r="BV67" s="146">
        <f t="shared" si="98"/>
        <v>0</v>
      </c>
      <c r="BW67" s="146">
        <f t="shared" si="124"/>
        <v>0</v>
      </c>
      <c r="BX67" s="146">
        <f t="shared" si="99"/>
        <v>0</v>
      </c>
      <c r="BY67" s="146">
        <f t="shared" si="125"/>
        <v>0</v>
      </c>
      <c r="BZ67" s="146">
        <f t="shared" si="100"/>
        <v>0</v>
      </c>
      <c r="CA67" s="146">
        <v>62</v>
      </c>
      <c r="CB67" s="147">
        <v>897019</v>
      </c>
      <c r="CC67" s="147">
        <f t="shared" si="72"/>
        <v>8250</v>
      </c>
      <c r="CD67" s="148">
        <f t="shared" si="73"/>
        <v>9.1971296037207679E-3</v>
      </c>
      <c r="CE67" s="146">
        <v>21.3</v>
      </c>
      <c r="CF67" s="147">
        <v>940925</v>
      </c>
      <c r="CG67" s="147">
        <f t="shared" si="74"/>
        <v>4853</v>
      </c>
      <c r="CH67" s="149">
        <f t="shared" si="75"/>
        <v>5.1576905704492923E-3</v>
      </c>
      <c r="CI67" s="146">
        <v>25.3</v>
      </c>
      <c r="CJ67" s="146">
        <v>62</v>
      </c>
      <c r="CK67" s="146">
        <v>14.95</v>
      </c>
      <c r="CL67" s="146">
        <v>18.239999999999998</v>
      </c>
    </row>
    <row r="68" spans="3:90" s="146" customFormat="1" ht="13.5" customHeight="1" x14ac:dyDescent="0.35">
      <c r="C68" s="146">
        <f>IF(O6&lt;O8,O8,O6)</f>
        <v>0</v>
      </c>
      <c r="D68" s="146" t="s">
        <v>47</v>
      </c>
      <c r="K68" s="146" t="s">
        <v>126</v>
      </c>
      <c r="M68" s="147" t="e">
        <f>+IF(#REF!="","",IF(#REF!="","",#REF!+#REF!-M67))</f>
        <v>#REF!</v>
      </c>
      <c r="T68" s="146" t="s">
        <v>127</v>
      </c>
      <c r="W68" s="146" t="str">
        <f>IF($T$6="SI",T68,"")</f>
        <v/>
      </c>
      <c r="Z68" s="146">
        <f t="shared" si="128"/>
        <v>1</v>
      </c>
      <c r="AA68" s="146">
        <f t="shared" si="129"/>
        <v>0</v>
      </c>
      <c r="AB68" s="146">
        <v>2006</v>
      </c>
      <c r="AC68" s="150">
        <v>408000</v>
      </c>
      <c r="AD68" s="151"/>
      <c r="AE68" s="151"/>
      <c r="AF68" s="151"/>
      <c r="AG68" s="151"/>
      <c r="AH68" s="151"/>
      <c r="AI68" s="146" t="e">
        <f t="shared" ca="1" si="126"/>
        <v>#REF!</v>
      </c>
      <c r="AJ68" s="146" t="e">
        <f t="shared" ca="1" si="127"/>
        <v>#REF!</v>
      </c>
      <c r="AK68" s="146">
        <f t="shared" si="105"/>
        <v>0</v>
      </c>
      <c r="AL68" s="146">
        <f t="shared" si="80"/>
        <v>0</v>
      </c>
      <c r="AM68" s="146">
        <f t="shared" si="106"/>
        <v>0</v>
      </c>
      <c r="AN68" s="146">
        <f t="shared" si="81"/>
        <v>0</v>
      </c>
      <c r="AO68" s="146">
        <f t="shared" si="107"/>
        <v>0</v>
      </c>
      <c r="AP68" s="146">
        <f t="shared" si="82"/>
        <v>0</v>
      </c>
      <c r="AQ68" s="146">
        <f t="shared" si="108"/>
        <v>0</v>
      </c>
      <c r="AR68" s="146">
        <f t="shared" si="83"/>
        <v>0</v>
      </c>
      <c r="AS68" s="146">
        <f t="shared" si="109"/>
        <v>0</v>
      </c>
      <c r="AT68" s="146">
        <f t="shared" si="84"/>
        <v>0</v>
      </c>
      <c r="AU68" s="146">
        <f t="shared" si="110"/>
        <v>0</v>
      </c>
      <c r="AV68" s="146">
        <f t="shared" si="85"/>
        <v>0</v>
      </c>
      <c r="AW68" s="146">
        <f t="shared" si="111"/>
        <v>0</v>
      </c>
      <c r="AX68" s="146">
        <f t="shared" si="86"/>
        <v>0</v>
      </c>
      <c r="AY68" s="146">
        <f t="shared" si="112"/>
        <v>0</v>
      </c>
      <c r="AZ68" s="146">
        <f t="shared" si="87"/>
        <v>0</v>
      </c>
      <c r="BA68" s="146">
        <f t="shared" si="113"/>
        <v>0</v>
      </c>
      <c r="BB68" s="146">
        <f t="shared" si="88"/>
        <v>0</v>
      </c>
      <c r="BC68" s="146">
        <f t="shared" si="114"/>
        <v>0</v>
      </c>
      <c r="BD68" s="146">
        <f t="shared" si="89"/>
        <v>0</v>
      </c>
      <c r="BE68" s="146">
        <f t="shared" si="115"/>
        <v>0</v>
      </c>
      <c r="BF68" s="146">
        <f t="shared" si="90"/>
        <v>0</v>
      </c>
      <c r="BG68" s="146">
        <f t="shared" si="116"/>
        <v>0</v>
      </c>
      <c r="BH68" s="146">
        <f t="shared" si="91"/>
        <v>0</v>
      </c>
      <c r="BI68" s="146">
        <f t="shared" si="117"/>
        <v>0</v>
      </c>
      <c r="BJ68" s="146">
        <f t="shared" si="92"/>
        <v>0</v>
      </c>
      <c r="BK68" s="146">
        <f t="shared" si="118"/>
        <v>0</v>
      </c>
      <c r="BL68" s="146">
        <f t="shared" si="93"/>
        <v>0</v>
      </c>
      <c r="BM68" s="146">
        <f t="shared" si="119"/>
        <v>0</v>
      </c>
      <c r="BN68" s="146">
        <f t="shared" si="94"/>
        <v>0</v>
      </c>
      <c r="BO68" s="146">
        <f t="shared" si="120"/>
        <v>0</v>
      </c>
      <c r="BP68" s="146">
        <f t="shared" si="95"/>
        <v>0</v>
      </c>
      <c r="BQ68" s="146">
        <f t="shared" si="121"/>
        <v>0</v>
      </c>
      <c r="BR68" s="146">
        <f t="shared" si="96"/>
        <v>0</v>
      </c>
      <c r="BS68" s="146">
        <f t="shared" si="122"/>
        <v>0</v>
      </c>
      <c r="BT68" s="146">
        <f t="shared" si="97"/>
        <v>0</v>
      </c>
      <c r="BU68" s="146">
        <f t="shared" si="123"/>
        <v>0</v>
      </c>
      <c r="BV68" s="146">
        <f t="shared" si="98"/>
        <v>0</v>
      </c>
      <c r="BW68" s="146">
        <f t="shared" si="124"/>
        <v>0</v>
      </c>
      <c r="BX68" s="146">
        <f t="shared" si="99"/>
        <v>0</v>
      </c>
      <c r="BY68" s="146">
        <f t="shared" si="125"/>
        <v>0</v>
      </c>
      <c r="BZ68" s="146">
        <f t="shared" si="100"/>
        <v>0</v>
      </c>
      <c r="CA68" s="146">
        <v>63</v>
      </c>
      <c r="CB68" s="147">
        <v>888769</v>
      </c>
      <c r="CC68" s="147">
        <f t="shared" si="72"/>
        <v>9134</v>
      </c>
      <c r="CD68" s="148">
        <f t="shared" si="73"/>
        <v>1.0277136128735364E-2</v>
      </c>
      <c r="CE68" s="146">
        <v>20.5</v>
      </c>
      <c r="CF68" s="147">
        <v>936072</v>
      </c>
      <c r="CG68" s="147">
        <f t="shared" si="74"/>
        <v>5303</v>
      </c>
      <c r="CH68" s="149">
        <f t="shared" si="75"/>
        <v>5.6651625088668389E-3</v>
      </c>
      <c r="CI68" s="146">
        <v>24.4</v>
      </c>
      <c r="CJ68" s="146">
        <v>63</v>
      </c>
      <c r="CK68" s="146">
        <v>14.44</v>
      </c>
      <c r="CL68" s="146">
        <v>17.600000000000001</v>
      </c>
    </row>
    <row r="69" spans="3:90" s="146" customFormat="1" ht="13.5" customHeight="1" x14ac:dyDescent="0.35">
      <c r="C69" s="152">
        <f ca="1">C67-C68</f>
        <v>822170474.89261436</v>
      </c>
      <c r="D69" s="146" t="s">
        <v>48</v>
      </c>
      <c r="M69" s="146" t="e">
        <f ca="1">IF(M68&lt;K43,M68,K43)</f>
        <v>#REF!</v>
      </c>
      <c r="T69" s="146" t="s">
        <v>128</v>
      </c>
      <c r="W69" s="146" t="str">
        <f>IF($T$6="SI",T69,"")</f>
        <v/>
      </c>
      <c r="Z69" s="146">
        <f t="shared" si="128"/>
        <v>1</v>
      </c>
      <c r="AA69" s="146">
        <f t="shared" si="129"/>
        <v>0</v>
      </c>
      <c r="AB69" s="146">
        <v>2007</v>
      </c>
      <c r="AC69" s="150">
        <v>433700</v>
      </c>
      <c r="AD69" s="151"/>
      <c r="AE69" s="151"/>
      <c r="AF69" s="151"/>
      <c r="AG69" s="151"/>
      <c r="AH69" s="151"/>
      <c r="AI69" s="146" t="e">
        <f t="shared" ca="1" si="126"/>
        <v>#REF!</v>
      </c>
      <c r="AJ69" s="146" t="e">
        <f t="shared" ca="1" si="127"/>
        <v>#REF!</v>
      </c>
      <c r="AK69" s="146">
        <f t="shared" si="105"/>
        <v>0</v>
      </c>
      <c r="AL69" s="146">
        <f t="shared" si="80"/>
        <v>0</v>
      </c>
      <c r="AM69" s="146">
        <f t="shared" si="106"/>
        <v>0</v>
      </c>
      <c r="AN69" s="146">
        <f t="shared" si="81"/>
        <v>0</v>
      </c>
      <c r="AO69" s="146">
        <f t="shared" si="107"/>
        <v>0</v>
      </c>
      <c r="AP69" s="146">
        <f t="shared" si="82"/>
        <v>0</v>
      </c>
      <c r="AQ69" s="146">
        <f t="shared" si="108"/>
        <v>0</v>
      </c>
      <c r="AR69" s="146">
        <f t="shared" si="83"/>
        <v>0</v>
      </c>
      <c r="AS69" s="146">
        <f t="shared" si="109"/>
        <v>0</v>
      </c>
      <c r="AT69" s="146">
        <f t="shared" si="84"/>
        <v>0</v>
      </c>
      <c r="AU69" s="146">
        <f t="shared" si="110"/>
        <v>0</v>
      </c>
      <c r="AV69" s="146">
        <f t="shared" si="85"/>
        <v>0</v>
      </c>
      <c r="AW69" s="146">
        <f t="shared" si="111"/>
        <v>0</v>
      </c>
      <c r="AX69" s="146">
        <f t="shared" si="86"/>
        <v>0</v>
      </c>
      <c r="AY69" s="146">
        <f t="shared" si="112"/>
        <v>0</v>
      </c>
      <c r="AZ69" s="146">
        <f t="shared" si="87"/>
        <v>0</v>
      </c>
      <c r="BA69" s="146">
        <f t="shared" si="113"/>
        <v>0</v>
      </c>
      <c r="BB69" s="146">
        <f t="shared" si="88"/>
        <v>0</v>
      </c>
      <c r="BC69" s="146">
        <f t="shared" si="114"/>
        <v>0</v>
      </c>
      <c r="BD69" s="146">
        <f t="shared" si="89"/>
        <v>0</v>
      </c>
      <c r="BE69" s="146">
        <f t="shared" si="115"/>
        <v>0</v>
      </c>
      <c r="BF69" s="146">
        <f t="shared" si="90"/>
        <v>0</v>
      </c>
      <c r="BG69" s="146">
        <f t="shared" si="116"/>
        <v>0</v>
      </c>
      <c r="BH69" s="146">
        <f t="shared" si="91"/>
        <v>0</v>
      </c>
      <c r="BI69" s="146">
        <f t="shared" si="117"/>
        <v>0</v>
      </c>
      <c r="BJ69" s="146">
        <f t="shared" si="92"/>
        <v>0</v>
      </c>
      <c r="BK69" s="146">
        <f t="shared" si="118"/>
        <v>0</v>
      </c>
      <c r="BL69" s="146">
        <f t="shared" si="93"/>
        <v>0</v>
      </c>
      <c r="BM69" s="146">
        <f t="shared" si="119"/>
        <v>0</v>
      </c>
      <c r="BN69" s="146">
        <f t="shared" si="94"/>
        <v>0</v>
      </c>
      <c r="BO69" s="146">
        <f t="shared" si="120"/>
        <v>0</v>
      </c>
      <c r="BP69" s="146">
        <f t="shared" si="95"/>
        <v>0</v>
      </c>
      <c r="BQ69" s="146">
        <f t="shared" si="121"/>
        <v>0</v>
      </c>
      <c r="BR69" s="146">
        <f t="shared" si="96"/>
        <v>0</v>
      </c>
      <c r="BS69" s="146">
        <f t="shared" si="122"/>
        <v>0</v>
      </c>
      <c r="BT69" s="146">
        <f t="shared" si="97"/>
        <v>0</v>
      </c>
      <c r="BU69" s="146">
        <f t="shared" si="123"/>
        <v>0</v>
      </c>
      <c r="BV69" s="146">
        <f t="shared" si="98"/>
        <v>0</v>
      </c>
      <c r="BW69" s="146">
        <f t="shared" si="124"/>
        <v>0</v>
      </c>
      <c r="BX69" s="146">
        <f t="shared" si="99"/>
        <v>0</v>
      </c>
      <c r="BY69" s="146">
        <f t="shared" si="125"/>
        <v>0</v>
      </c>
      <c r="BZ69" s="146">
        <f t="shared" si="100"/>
        <v>0</v>
      </c>
      <c r="CA69" s="146">
        <v>64</v>
      </c>
      <c r="CB69" s="147">
        <v>879635</v>
      </c>
      <c r="CC69" s="147">
        <f t="shared" si="72"/>
        <v>10078</v>
      </c>
      <c r="CD69" s="148">
        <f t="shared" si="73"/>
        <v>1.1457024788690763E-2</v>
      </c>
      <c r="CE69" s="146">
        <v>19.7</v>
      </c>
      <c r="CF69" s="147">
        <v>930769</v>
      </c>
      <c r="CG69" s="147">
        <f t="shared" si="74"/>
        <v>5801</v>
      </c>
      <c r="CH69" s="149">
        <f t="shared" si="75"/>
        <v>6.23248088408617E-3</v>
      </c>
      <c r="CI69" s="146">
        <v>23.5</v>
      </c>
      <c r="CJ69" s="146">
        <v>64</v>
      </c>
      <c r="CK69" s="146">
        <v>13.94</v>
      </c>
      <c r="CL69" s="146">
        <v>16.97</v>
      </c>
    </row>
    <row r="70" spans="3:90" s="146" customFormat="1" ht="13.5" customHeight="1" x14ac:dyDescent="0.35">
      <c r="C70" s="152" t="str">
        <f ca="1">W46</f>
        <v/>
      </c>
      <c r="D70" s="146" t="s">
        <v>49</v>
      </c>
      <c r="T70" s="146" t="s">
        <v>129</v>
      </c>
      <c r="W70" s="146" t="str">
        <f t="shared" ref="W70" si="130">IF($T$6="SI",T70,"")</f>
        <v/>
      </c>
      <c r="Z70" s="146">
        <f t="shared" si="128"/>
        <v>1</v>
      </c>
      <c r="AA70" s="146">
        <f t="shared" si="129"/>
        <v>0</v>
      </c>
      <c r="AB70" s="146">
        <v>2008</v>
      </c>
      <c r="AC70" s="150">
        <v>461500</v>
      </c>
      <c r="AD70" s="151"/>
      <c r="AE70" s="151"/>
      <c r="AF70" s="151"/>
      <c r="AG70" s="151"/>
      <c r="AH70" s="151"/>
      <c r="AI70" s="146" t="e">
        <f t="shared" ca="1" si="126"/>
        <v>#REF!</v>
      </c>
      <c r="AJ70" s="146" t="e">
        <f t="shared" ca="1" si="127"/>
        <v>#REF!</v>
      </c>
      <c r="AK70" s="146">
        <f t="shared" si="105"/>
        <v>0</v>
      </c>
      <c r="AL70" s="146">
        <f t="shared" si="80"/>
        <v>0</v>
      </c>
      <c r="AM70" s="146">
        <f t="shared" si="106"/>
        <v>0</v>
      </c>
      <c r="AN70" s="146">
        <f t="shared" si="81"/>
        <v>0</v>
      </c>
      <c r="AO70" s="146">
        <f t="shared" si="107"/>
        <v>0</v>
      </c>
      <c r="AP70" s="146">
        <f t="shared" si="82"/>
        <v>0</v>
      </c>
      <c r="AQ70" s="146">
        <f t="shared" si="108"/>
        <v>0</v>
      </c>
      <c r="AR70" s="146">
        <f t="shared" si="83"/>
        <v>0</v>
      </c>
      <c r="AS70" s="146">
        <f t="shared" si="109"/>
        <v>0</v>
      </c>
      <c r="AT70" s="146">
        <f t="shared" si="84"/>
        <v>0</v>
      </c>
      <c r="AU70" s="146">
        <f t="shared" si="110"/>
        <v>0</v>
      </c>
      <c r="AV70" s="146">
        <f t="shared" si="85"/>
        <v>0</v>
      </c>
      <c r="AW70" s="146">
        <f t="shared" si="111"/>
        <v>0</v>
      </c>
      <c r="AX70" s="146">
        <f t="shared" si="86"/>
        <v>0</v>
      </c>
      <c r="AY70" s="146">
        <f t="shared" si="112"/>
        <v>0</v>
      </c>
      <c r="AZ70" s="146">
        <f t="shared" si="87"/>
        <v>0</v>
      </c>
      <c r="BA70" s="146">
        <f t="shared" si="113"/>
        <v>0</v>
      </c>
      <c r="BB70" s="146">
        <f t="shared" si="88"/>
        <v>0</v>
      </c>
      <c r="BC70" s="146">
        <f t="shared" si="114"/>
        <v>0</v>
      </c>
      <c r="BD70" s="146">
        <f t="shared" si="89"/>
        <v>0</v>
      </c>
      <c r="BE70" s="146">
        <f t="shared" si="115"/>
        <v>0</v>
      </c>
      <c r="BF70" s="146">
        <f t="shared" si="90"/>
        <v>0</v>
      </c>
      <c r="BG70" s="146">
        <f t="shared" si="116"/>
        <v>0</v>
      </c>
      <c r="BH70" s="146">
        <f t="shared" si="91"/>
        <v>0</v>
      </c>
      <c r="BI70" s="146">
        <f t="shared" si="117"/>
        <v>0</v>
      </c>
      <c r="BJ70" s="146">
        <f t="shared" si="92"/>
        <v>0</v>
      </c>
      <c r="BK70" s="146">
        <f t="shared" si="118"/>
        <v>0</v>
      </c>
      <c r="BL70" s="146">
        <f t="shared" si="93"/>
        <v>0</v>
      </c>
      <c r="BM70" s="146">
        <f t="shared" si="119"/>
        <v>0</v>
      </c>
      <c r="BN70" s="146">
        <f t="shared" si="94"/>
        <v>0</v>
      </c>
      <c r="BO70" s="146">
        <f t="shared" si="120"/>
        <v>0</v>
      </c>
      <c r="BP70" s="146">
        <f t="shared" si="95"/>
        <v>0</v>
      </c>
      <c r="BQ70" s="146">
        <f t="shared" si="121"/>
        <v>0</v>
      </c>
      <c r="BR70" s="146">
        <f t="shared" si="96"/>
        <v>0</v>
      </c>
      <c r="BS70" s="146">
        <f t="shared" si="122"/>
        <v>0</v>
      </c>
      <c r="BT70" s="146">
        <f t="shared" si="97"/>
        <v>0</v>
      </c>
      <c r="BU70" s="146">
        <f t="shared" si="123"/>
        <v>0</v>
      </c>
      <c r="BV70" s="146">
        <f t="shared" si="98"/>
        <v>0</v>
      </c>
      <c r="BW70" s="146">
        <f t="shared" si="124"/>
        <v>0</v>
      </c>
      <c r="BX70" s="146">
        <f t="shared" si="99"/>
        <v>0</v>
      </c>
      <c r="BY70" s="146">
        <f t="shared" si="125"/>
        <v>0</v>
      </c>
      <c r="BZ70" s="146">
        <f t="shared" si="100"/>
        <v>0</v>
      </c>
      <c r="CA70" s="146">
        <v>65</v>
      </c>
      <c r="CB70" s="147">
        <v>869557</v>
      </c>
      <c r="CC70" s="147">
        <f t="shared" si="72"/>
        <v>11080</v>
      </c>
      <c r="CD70" s="148">
        <f t="shared" si="73"/>
        <v>1.2742120413037903E-2</v>
      </c>
      <c r="CE70" s="146">
        <v>19</v>
      </c>
      <c r="CF70" s="147">
        <v>924968</v>
      </c>
      <c r="CG70" s="147">
        <f t="shared" si="74"/>
        <v>6351</v>
      </c>
      <c r="CH70" s="149">
        <f t="shared" si="75"/>
        <v>6.8661834787798063E-3</v>
      </c>
      <c r="CI70" s="146">
        <v>22.7</v>
      </c>
      <c r="CJ70" s="146">
        <v>65</v>
      </c>
      <c r="CK70" s="146">
        <v>13.43</v>
      </c>
      <c r="CL70" s="146">
        <f>+CL69-((CL69-CL74)/5)</f>
        <v>16.343999999999998</v>
      </c>
    </row>
    <row r="71" spans="3:90" s="146" customFormat="1" ht="13.5" customHeight="1" x14ac:dyDescent="0.35">
      <c r="D71" s="146" t="s">
        <v>50</v>
      </c>
      <c r="T71" s="146" t="s">
        <v>130</v>
      </c>
      <c r="W71" s="146" t="str">
        <f>IF($T$6="SI",T71,"")</f>
        <v/>
      </c>
      <c r="Z71" s="146">
        <f t="shared" si="128"/>
        <v>1</v>
      </c>
      <c r="AA71" s="146">
        <f t="shared" si="129"/>
        <v>0</v>
      </c>
      <c r="AB71" s="146">
        <v>2009</v>
      </c>
      <c r="AC71" s="150">
        <v>496900</v>
      </c>
      <c r="AD71" s="151"/>
      <c r="AE71" s="151"/>
      <c r="AF71" s="151"/>
      <c r="AG71" s="151"/>
      <c r="AH71" s="151"/>
      <c r="AI71" s="146" t="e">
        <f t="shared" ca="1" si="126"/>
        <v>#REF!</v>
      </c>
      <c r="AJ71" s="146" t="e">
        <f t="shared" ca="1" si="127"/>
        <v>#REF!</v>
      </c>
      <c r="AK71" s="146">
        <f t="shared" si="105"/>
        <v>0</v>
      </c>
      <c r="AL71" s="146">
        <f t="shared" si="80"/>
        <v>0</v>
      </c>
      <c r="AM71" s="146">
        <f t="shared" si="106"/>
        <v>0</v>
      </c>
      <c r="AN71" s="146">
        <f t="shared" si="81"/>
        <v>0</v>
      </c>
      <c r="AO71" s="146">
        <f t="shared" si="107"/>
        <v>0</v>
      </c>
      <c r="AP71" s="146">
        <f t="shared" si="82"/>
        <v>0</v>
      </c>
      <c r="AQ71" s="146">
        <f t="shared" si="108"/>
        <v>0</v>
      </c>
      <c r="AR71" s="146">
        <f t="shared" si="83"/>
        <v>0</v>
      </c>
      <c r="AS71" s="146">
        <f t="shared" si="109"/>
        <v>0</v>
      </c>
      <c r="AT71" s="146">
        <f t="shared" si="84"/>
        <v>0</v>
      </c>
      <c r="AU71" s="146">
        <f t="shared" si="110"/>
        <v>0</v>
      </c>
      <c r="AV71" s="146">
        <f t="shared" si="85"/>
        <v>0</v>
      </c>
      <c r="AW71" s="146">
        <f t="shared" si="111"/>
        <v>0</v>
      </c>
      <c r="AX71" s="146">
        <f t="shared" si="86"/>
        <v>0</v>
      </c>
      <c r="AY71" s="146">
        <f t="shared" si="112"/>
        <v>0</v>
      </c>
      <c r="AZ71" s="146">
        <f t="shared" si="87"/>
        <v>0</v>
      </c>
      <c r="BA71" s="146">
        <f t="shared" si="113"/>
        <v>0</v>
      </c>
      <c r="BB71" s="146">
        <f t="shared" si="88"/>
        <v>0</v>
      </c>
      <c r="BC71" s="146">
        <f t="shared" si="114"/>
        <v>0</v>
      </c>
      <c r="BD71" s="146">
        <f t="shared" si="89"/>
        <v>0</v>
      </c>
      <c r="BE71" s="146">
        <f t="shared" si="115"/>
        <v>0</v>
      </c>
      <c r="BF71" s="146">
        <f t="shared" si="90"/>
        <v>0</v>
      </c>
      <c r="BG71" s="146">
        <f t="shared" si="116"/>
        <v>0</v>
      </c>
      <c r="BH71" s="146">
        <f t="shared" si="91"/>
        <v>0</v>
      </c>
      <c r="BI71" s="146">
        <f t="shared" si="117"/>
        <v>0</v>
      </c>
      <c r="BJ71" s="146">
        <f t="shared" si="92"/>
        <v>0</v>
      </c>
      <c r="BK71" s="146">
        <f t="shared" si="118"/>
        <v>0</v>
      </c>
      <c r="BL71" s="146">
        <f t="shared" si="93"/>
        <v>0</v>
      </c>
      <c r="BM71" s="146">
        <f t="shared" si="119"/>
        <v>0</v>
      </c>
      <c r="BN71" s="146">
        <f t="shared" si="94"/>
        <v>0</v>
      </c>
      <c r="BO71" s="146">
        <f t="shared" si="120"/>
        <v>0</v>
      </c>
      <c r="BP71" s="146">
        <f t="shared" si="95"/>
        <v>0</v>
      </c>
      <c r="BQ71" s="146">
        <f t="shared" si="121"/>
        <v>0</v>
      </c>
      <c r="BR71" s="146">
        <f t="shared" si="96"/>
        <v>0</v>
      </c>
      <c r="BS71" s="146">
        <f t="shared" si="122"/>
        <v>0</v>
      </c>
      <c r="BT71" s="146">
        <f t="shared" si="97"/>
        <v>0</v>
      </c>
      <c r="BU71" s="146">
        <f t="shared" si="123"/>
        <v>0</v>
      </c>
      <c r="BV71" s="146">
        <f t="shared" si="98"/>
        <v>0</v>
      </c>
      <c r="BW71" s="146">
        <f t="shared" si="124"/>
        <v>0</v>
      </c>
      <c r="BX71" s="146">
        <f t="shared" si="99"/>
        <v>0</v>
      </c>
      <c r="BY71" s="146">
        <f t="shared" si="125"/>
        <v>0</v>
      </c>
      <c r="BZ71" s="146">
        <f t="shared" si="100"/>
        <v>0</v>
      </c>
      <c r="CA71" s="146">
        <v>66</v>
      </c>
      <c r="CB71" s="147">
        <v>858477</v>
      </c>
      <c r="CC71" s="147">
        <f t="shared" si="72"/>
        <v>12143</v>
      </c>
      <c r="CD71" s="148">
        <f t="shared" si="73"/>
        <v>1.4144816925788345E-2</v>
      </c>
      <c r="CE71" s="146">
        <v>18.2</v>
      </c>
      <c r="CF71" s="147">
        <v>918617</v>
      </c>
      <c r="CG71" s="147">
        <f t="shared" si="74"/>
        <v>6959</v>
      </c>
      <c r="CH71" s="149">
        <f t="shared" si="75"/>
        <v>7.5755184151828237E-3</v>
      </c>
      <c r="CI71" s="146">
        <v>21.8</v>
      </c>
      <c r="CJ71" s="146">
        <v>66</v>
      </c>
      <c r="CK71" s="146">
        <v>12.93</v>
      </c>
      <c r="CL71" s="146">
        <f>+CL69-(2*(CL69-CL74)/5)</f>
        <v>15.718</v>
      </c>
    </row>
    <row r="72" spans="3:90" s="146" customFormat="1" ht="13.5" customHeight="1" x14ac:dyDescent="0.35">
      <c r="D72" s="146" t="s">
        <v>51</v>
      </c>
      <c r="Z72" s="146">
        <f t="shared" si="128"/>
        <v>1</v>
      </c>
      <c r="AA72" s="146">
        <f t="shared" si="129"/>
        <v>0</v>
      </c>
      <c r="AB72" s="146">
        <v>2010</v>
      </c>
      <c r="AC72" s="150">
        <v>515000</v>
      </c>
      <c r="AD72" s="151"/>
      <c r="AE72" s="151"/>
      <c r="AF72" s="151"/>
      <c r="AG72" s="151"/>
      <c r="AH72" s="151"/>
      <c r="AI72" s="146" t="e">
        <f t="shared" ca="1" si="126"/>
        <v>#REF!</v>
      </c>
      <c r="AJ72" s="146" t="e">
        <f t="shared" ca="1" si="127"/>
        <v>#REF!</v>
      </c>
      <c r="AK72" s="146">
        <f t="shared" si="105"/>
        <v>0</v>
      </c>
      <c r="AL72" s="146">
        <f t="shared" si="80"/>
        <v>0</v>
      </c>
      <c r="AM72" s="146">
        <f t="shared" si="106"/>
        <v>0</v>
      </c>
      <c r="AN72" s="146">
        <f t="shared" si="81"/>
        <v>0</v>
      </c>
      <c r="AO72" s="146">
        <f t="shared" si="107"/>
        <v>0</v>
      </c>
      <c r="AP72" s="146">
        <f t="shared" si="82"/>
        <v>0</v>
      </c>
      <c r="AQ72" s="146">
        <f t="shared" si="108"/>
        <v>0</v>
      </c>
      <c r="AR72" s="146">
        <f t="shared" si="83"/>
        <v>0</v>
      </c>
      <c r="AS72" s="146">
        <f t="shared" si="109"/>
        <v>0</v>
      </c>
      <c r="AT72" s="146">
        <f t="shared" si="84"/>
        <v>0</v>
      </c>
      <c r="AU72" s="146">
        <f t="shared" si="110"/>
        <v>0</v>
      </c>
      <c r="AV72" s="146">
        <f t="shared" si="85"/>
        <v>0</v>
      </c>
      <c r="AW72" s="146">
        <f t="shared" si="111"/>
        <v>0</v>
      </c>
      <c r="AX72" s="146">
        <f t="shared" si="86"/>
        <v>0</v>
      </c>
      <c r="AY72" s="146">
        <f t="shared" si="112"/>
        <v>0</v>
      </c>
      <c r="AZ72" s="146">
        <f t="shared" si="87"/>
        <v>0</v>
      </c>
      <c r="BA72" s="146">
        <f t="shared" si="113"/>
        <v>0</v>
      </c>
      <c r="BB72" s="146">
        <f t="shared" si="88"/>
        <v>0</v>
      </c>
      <c r="BC72" s="146">
        <f t="shared" si="114"/>
        <v>0</v>
      </c>
      <c r="BD72" s="146">
        <f t="shared" si="89"/>
        <v>0</v>
      </c>
      <c r="BE72" s="146">
        <f t="shared" si="115"/>
        <v>0</v>
      </c>
      <c r="BF72" s="146">
        <f t="shared" si="90"/>
        <v>0</v>
      </c>
      <c r="BG72" s="146">
        <f t="shared" si="116"/>
        <v>0</v>
      </c>
      <c r="BH72" s="146">
        <f t="shared" si="91"/>
        <v>0</v>
      </c>
      <c r="BI72" s="146">
        <f t="shared" si="117"/>
        <v>0</v>
      </c>
      <c r="BJ72" s="146">
        <f t="shared" si="92"/>
        <v>0</v>
      </c>
      <c r="BK72" s="146">
        <f t="shared" si="118"/>
        <v>0</v>
      </c>
      <c r="BL72" s="146">
        <f t="shared" si="93"/>
        <v>0</v>
      </c>
      <c r="BM72" s="146">
        <f t="shared" si="119"/>
        <v>0</v>
      </c>
      <c r="BN72" s="146">
        <f t="shared" si="94"/>
        <v>0</v>
      </c>
      <c r="BO72" s="146">
        <f t="shared" si="120"/>
        <v>0</v>
      </c>
      <c r="BP72" s="146">
        <f t="shared" si="95"/>
        <v>0</v>
      </c>
      <c r="BQ72" s="146">
        <f t="shared" si="121"/>
        <v>0</v>
      </c>
      <c r="BR72" s="146">
        <f t="shared" si="96"/>
        <v>0</v>
      </c>
      <c r="BS72" s="146">
        <f t="shared" si="122"/>
        <v>0</v>
      </c>
      <c r="BT72" s="146">
        <f t="shared" si="97"/>
        <v>0</v>
      </c>
      <c r="BU72" s="146">
        <f t="shared" si="123"/>
        <v>0</v>
      </c>
      <c r="BV72" s="146">
        <f t="shared" si="98"/>
        <v>0</v>
      </c>
      <c r="BW72" s="146">
        <f t="shared" si="124"/>
        <v>0</v>
      </c>
      <c r="BX72" s="146">
        <f t="shared" si="99"/>
        <v>0</v>
      </c>
      <c r="BY72" s="146">
        <f t="shared" si="125"/>
        <v>0</v>
      </c>
      <c r="BZ72" s="146">
        <f t="shared" si="100"/>
        <v>0</v>
      </c>
      <c r="CA72" s="146">
        <v>67</v>
      </c>
      <c r="CB72" s="147">
        <v>846334</v>
      </c>
      <c r="CC72" s="147">
        <f t="shared" si="72"/>
        <v>13265</v>
      </c>
      <c r="CD72" s="148">
        <f t="shared" si="73"/>
        <v>1.5673481155194048E-2</v>
      </c>
      <c r="CE72" s="146">
        <v>17.399999999999999</v>
      </c>
      <c r="CF72" s="147">
        <v>911658</v>
      </c>
      <c r="CG72" s="147">
        <f t="shared" si="74"/>
        <v>7629</v>
      </c>
      <c r="CH72" s="149">
        <f t="shared" si="75"/>
        <v>8.3682696800773983E-3</v>
      </c>
      <c r="CI72" s="146">
        <v>21</v>
      </c>
      <c r="CJ72" s="146">
        <v>67</v>
      </c>
      <c r="CK72" s="146">
        <v>12.44</v>
      </c>
      <c r="CL72" s="146">
        <f>+CL69-(3*(CL69-CL74)/5)</f>
        <v>15.091999999999999</v>
      </c>
    </row>
    <row r="73" spans="3:90" s="146" customFormat="1" ht="13.5" customHeight="1" x14ac:dyDescent="0.35">
      <c r="D73" s="146" t="s">
        <v>52</v>
      </c>
      <c r="Z73" s="146">
        <f t="shared" si="128"/>
        <v>1</v>
      </c>
      <c r="AA73" s="146">
        <f t="shared" si="129"/>
        <v>0</v>
      </c>
      <c r="AB73" s="146">
        <v>2011</v>
      </c>
      <c r="AC73" s="150">
        <v>535600</v>
      </c>
      <c r="AD73" s="151"/>
      <c r="AE73" s="151"/>
      <c r="AF73" s="151" t="e">
        <f>IF((Q103/R103)*100&lt;AB119,Q103/R103*100,AB119)</f>
        <v>#DIV/0!</v>
      </c>
      <c r="AG73" s="151"/>
      <c r="AH73" s="151"/>
      <c r="AI73" s="146" t="e">
        <f t="shared" ca="1" si="126"/>
        <v>#REF!</v>
      </c>
      <c r="AJ73" s="146" t="e">
        <f t="shared" ca="1" si="127"/>
        <v>#REF!</v>
      </c>
      <c r="AK73" s="146">
        <f t="shared" si="105"/>
        <v>0</v>
      </c>
      <c r="AL73" s="146">
        <f t="shared" si="80"/>
        <v>0</v>
      </c>
      <c r="AM73" s="146">
        <f t="shared" si="106"/>
        <v>0</v>
      </c>
      <c r="AN73" s="146">
        <f t="shared" si="81"/>
        <v>0</v>
      </c>
      <c r="AO73" s="146">
        <f t="shared" si="107"/>
        <v>0</v>
      </c>
      <c r="AP73" s="146">
        <f t="shared" si="82"/>
        <v>0</v>
      </c>
      <c r="AQ73" s="146">
        <f t="shared" si="108"/>
        <v>0</v>
      </c>
      <c r="AR73" s="146">
        <f t="shared" si="83"/>
        <v>0</v>
      </c>
      <c r="AS73" s="146">
        <f t="shared" si="109"/>
        <v>0</v>
      </c>
      <c r="AT73" s="146">
        <f t="shared" si="84"/>
        <v>0</v>
      </c>
      <c r="AU73" s="146">
        <f t="shared" si="110"/>
        <v>0</v>
      </c>
      <c r="AV73" s="146">
        <f t="shared" si="85"/>
        <v>0</v>
      </c>
      <c r="AW73" s="146">
        <f t="shared" si="111"/>
        <v>0</v>
      </c>
      <c r="AX73" s="146">
        <f t="shared" si="86"/>
        <v>0</v>
      </c>
      <c r="AY73" s="146">
        <f t="shared" si="112"/>
        <v>0</v>
      </c>
      <c r="AZ73" s="146">
        <f t="shared" si="87"/>
        <v>0</v>
      </c>
      <c r="BA73" s="146">
        <f t="shared" si="113"/>
        <v>0</v>
      </c>
      <c r="BB73" s="146">
        <f t="shared" si="88"/>
        <v>0</v>
      </c>
      <c r="BC73" s="146">
        <f t="shared" si="114"/>
        <v>0</v>
      </c>
      <c r="BD73" s="146">
        <f t="shared" si="89"/>
        <v>0</v>
      </c>
      <c r="BE73" s="146">
        <f t="shared" si="115"/>
        <v>0</v>
      </c>
      <c r="BF73" s="146">
        <f t="shared" si="90"/>
        <v>0</v>
      </c>
      <c r="BG73" s="146">
        <f t="shared" si="116"/>
        <v>0</v>
      </c>
      <c r="BH73" s="146">
        <f t="shared" si="91"/>
        <v>0</v>
      </c>
      <c r="BI73" s="146">
        <f t="shared" si="117"/>
        <v>0</v>
      </c>
      <c r="BJ73" s="146">
        <f t="shared" si="92"/>
        <v>0</v>
      </c>
      <c r="BK73" s="146">
        <f t="shared" si="118"/>
        <v>0</v>
      </c>
      <c r="BL73" s="146">
        <f t="shared" si="93"/>
        <v>0</v>
      </c>
      <c r="BM73" s="146">
        <f t="shared" si="119"/>
        <v>0</v>
      </c>
      <c r="BN73" s="146">
        <f t="shared" si="94"/>
        <v>0</v>
      </c>
      <c r="BO73" s="146">
        <f t="shared" si="120"/>
        <v>0</v>
      </c>
      <c r="BP73" s="146">
        <f t="shared" si="95"/>
        <v>0</v>
      </c>
      <c r="BQ73" s="146">
        <f t="shared" si="121"/>
        <v>0</v>
      </c>
      <c r="BR73" s="146">
        <f t="shared" si="96"/>
        <v>0</v>
      </c>
      <c r="BS73" s="146">
        <f t="shared" si="122"/>
        <v>0</v>
      </c>
      <c r="BT73" s="146">
        <f t="shared" si="97"/>
        <v>0</v>
      </c>
      <c r="BU73" s="146">
        <f t="shared" si="123"/>
        <v>0</v>
      </c>
      <c r="BV73" s="146">
        <f t="shared" si="98"/>
        <v>0</v>
      </c>
      <c r="BW73" s="146">
        <f t="shared" si="124"/>
        <v>0</v>
      </c>
      <c r="BX73" s="146">
        <f t="shared" si="99"/>
        <v>0</v>
      </c>
      <c r="BY73" s="146">
        <f t="shared" si="125"/>
        <v>0</v>
      </c>
      <c r="BZ73" s="146">
        <f t="shared" si="100"/>
        <v>0</v>
      </c>
      <c r="CA73" s="146">
        <v>68</v>
      </c>
      <c r="CB73" s="147">
        <v>833069</v>
      </c>
      <c r="CC73" s="147">
        <f t="shared" si="72"/>
        <v>14446</v>
      </c>
      <c r="CD73" s="148">
        <f t="shared" si="73"/>
        <v>1.7340700470189145E-2</v>
      </c>
      <c r="CE73" s="146">
        <v>16.7</v>
      </c>
      <c r="CF73" s="147">
        <v>904029</v>
      </c>
      <c r="CG73" s="147">
        <f t="shared" si="74"/>
        <v>8367</v>
      </c>
      <c r="CH73" s="149">
        <f t="shared" si="75"/>
        <v>9.2552340688185891E-3</v>
      </c>
      <c r="CI73" s="146">
        <v>20.2</v>
      </c>
      <c r="CJ73" s="146">
        <v>68</v>
      </c>
      <c r="CK73" s="146">
        <v>11.94</v>
      </c>
      <c r="CL73" s="146">
        <f>+CL69-(4*(CL69-CL74)/5)</f>
        <v>14.465999999999999</v>
      </c>
    </row>
    <row r="74" spans="3:90" s="146" customFormat="1" ht="13.5" customHeight="1" x14ac:dyDescent="0.35">
      <c r="D74" s="146" t="s">
        <v>53</v>
      </c>
      <c r="Z74" s="146">
        <f t="shared" si="128"/>
        <v>1</v>
      </c>
      <c r="AA74" s="146">
        <f t="shared" si="129"/>
        <v>0</v>
      </c>
      <c r="AB74" s="146">
        <v>2012</v>
      </c>
      <c r="AC74" s="150">
        <v>566700</v>
      </c>
      <c r="AD74" s="151"/>
      <c r="AE74" s="151"/>
      <c r="AF74" s="151" t="e">
        <f ca="1">IF((AJ54/AI75)*100&lt;AA115,AJ54/AI75*100,AA115)</f>
        <v>#REF!</v>
      </c>
      <c r="AG74" s="151"/>
      <c r="AH74" s="151"/>
      <c r="AI74" s="151"/>
      <c r="AJ74" s="146" t="e">
        <f t="shared" ca="1" si="127"/>
        <v>#REF!</v>
      </c>
      <c r="AK74" s="146">
        <f t="shared" si="105"/>
        <v>0</v>
      </c>
      <c r="AL74" s="146">
        <f t="shared" si="80"/>
        <v>0</v>
      </c>
      <c r="AM74" s="146">
        <f t="shared" si="106"/>
        <v>0</v>
      </c>
      <c r="AN74" s="146">
        <f t="shared" si="81"/>
        <v>0</v>
      </c>
      <c r="AO74" s="146">
        <f t="shared" si="107"/>
        <v>0</v>
      </c>
      <c r="AP74" s="146">
        <f t="shared" si="82"/>
        <v>0</v>
      </c>
      <c r="AQ74" s="146">
        <f t="shared" si="108"/>
        <v>0</v>
      </c>
      <c r="AR74" s="146">
        <f t="shared" si="83"/>
        <v>0</v>
      </c>
      <c r="AS74" s="146">
        <f t="shared" si="109"/>
        <v>0</v>
      </c>
      <c r="AT74" s="146">
        <f t="shared" si="84"/>
        <v>0</v>
      </c>
      <c r="AU74" s="146">
        <f t="shared" si="110"/>
        <v>0</v>
      </c>
      <c r="AV74" s="146">
        <f t="shared" si="85"/>
        <v>0</v>
      </c>
      <c r="AW74" s="146">
        <f t="shared" si="111"/>
        <v>0</v>
      </c>
      <c r="AX74" s="146">
        <f t="shared" si="86"/>
        <v>0</v>
      </c>
      <c r="AY74" s="146">
        <f t="shared" si="112"/>
        <v>0</v>
      </c>
      <c r="AZ74" s="146">
        <f t="shared" si="87"/>
        <v>0</v>
      </c>
      <c r="BA74" s="146">
        <f t="shared" si="113"/>
        <v>0</v>
      </c>
      <c r="BB74" s="146">
        <f t="shared" si="88"/>
        <v>0</v>
      </c>
      <c r="BC74" s="146">
        <f t="shared" si="114"/>
        <v>0</v>
      </c>
      <c r="BD74" s="146">
        <f t="shared" si="89"/>
        <v>0</v>
      </c>
      <c r="BE74" s="146">
        <f t="shared" si="115"/>
        <v>0</v>
      </c>
      <c r="BF74" s="146">
        <f t="shared" si="90"/>
        <v>0</v>
      </c>
      <c r="BG74" s="146">
        <f t="shared" si="116"/>
        <v>0</v>
      </c>
      <c r="BH74" s="146">
        <f t="shared" si="91"/>
        <v>0</v>
      </c>
      <c r="BI74" s="146">
        <f t="shared" si="117"/>
        <v>0</v>
      </c>
      <c r="BJ74" s="146">
        <f t="shared" si="92"/>
        <v>0</v>
      </c>
      <c r="BK74" s="146">
        <f t="shared" si="118"/>
        <v>0</v>
      </c>
      <c r="BL74" s="146">
        <f t="shared" si="93"/>
        <v>0</v>
      </c>
      <c r="BM74" s="146">
        <f t="shared" si="119"/>
        <v>0</v>
      </c>
      <c r="BN74" s="146">
        <f t="shared" si="94"/>
        <v>0</v>
      </c>
      <c r="BO74" s="146">
        <f t="shared" si="120"/>
        <v>0</v>
      </c>
      <c r="BP74" s="146">
        <f t="shared" si="95"/>
        <v>0</v>
      </c>
      <c r="BQ74" s="146">
        <f t="shared" si="121"/>
        <v>0</v>
      </c>
      <c r="BR74" s="146">
        <f t="shared" si="96"/>
        <v>0</v>
      </c>
      <c r="BS74" s="146">
        <f t="shared" si="122"/>
        <v>0</v>
      </c>
      <c r="BT74" s="146">
        <f t="shared" si="97"/>
        <v>0</v>
      </c>
      <c r="BU74" s="146">
        <f t="shared" si="123"/>
        <v>0</v>
      </c>
      <c r="BV74" s="146">
        <f t="shared" si="98"/>
        <v>0</v>
      </c>
      <c r="BW74" s="146">
        <f t="shared" si="124"/>
        <v>0</v>
      </c>
      <c r="BX74" s="146">
        <f t="shared" si="99"/>
        <v>0</v>
      </c>
      <c r="BY74" s="146">
        <f t="shared" si="125"/>
        <v>0</v>
      </c>
      <c r="BZ74" s="146">
        <f t="shared" si="100"/>
        <v>0</v>
      </c>
      <c r="CA74" s="146">
        <v>69</v>
      </c>
      <c r="CB74" s="147">
        <v>818623</v>
      </c>
      <c r="CC74" s="147">
        <f t="shared" si="72"/>
        <v>15683</v>
      </c>
      <c r="CD74" s="148">
        <f t="shared" si="73"/>
        <v>1.9157780809969913E-2</v>
      </c>
      <c r="CE74" s="146">
        <v>16</v>
      </c>
      <c r="CF74" s="147">
        <v>895662</v>
      </c>
      <c r="CG74" s="147">
        <f t="shared" si="74"/>
        <v>9177</v>
      </c>
      <c r="CH74" s="149">
        <f t="shared" si="75"/>
        <v>1.0246052640393362E-2</v>
      </c>
      <c r="CI74" s="146">
        <v>19.399999999999999</v>
      </c>
      <c r="CJ74" s="146">
        <v>69</v>
      </c>
      <c r="CK74" s="146">
        <v>11.45</v>
      </c>
      <c r="CL74" s="146">
        <v>13.84</v>
      </c>
    </row>
    <row r="75" spans="3:90" s="146" customFormat="1" ht="13.5" customHeight="1" x14ac:dyDescent="0.35">
      <c r="Z75" s="146">
        <f t="shared" si="128"/>
        <v>1</v>
      </c>
      <c r="AA75" s="146">
        <f t="shared" si="129"/>
        <v>0</v>
      </c>
      <c r="AB75" s="146">
        <v>2013</v>
      </c>
      <c r="AC75" s="150">
        <v>589500</v>
      </c>
      <c r="AD75" s="151"/>
      <c r="AE75" s="151"/>
      <c r="AF75" s="151" t="e">
        <f ca="1">AF73+AF74</f>
        <v>#DIV/0!</v>
      </c>
      <c r="AG75" s="151"/>
      <c r="AH75" s="151"/>
      <c r="AI75" s="151" t="e">
        <f ca="1">IF(SUM(AI54:AI73)&lt;=0,1,SUM(AI54:AI73))</f>
        <v>#REF!</v>
      </c>
      <c r="AK75" s="146">
        <f t="shared" si="105"/>
        <v>0</v>
      </c>
      <c r="AL75" s="146">
        <f t="shared" si="80"/>
        <v>0</v>
      </c>
      <c r="AM75" s="146">
        <f t="shared" si="106"/>
        <v>0</v>
      </c>
      <c r="AN75" s="146">
        <f t="shared" si="81"/>
        <v>0</v>
      </c>
      <c r="AO75" s="146">
        <f t="shared" si="107"/>
        <v>0</v>
      </c>
      <c r="AP75" s="146">
        <f t="shared" si="82"/>
        <v>0</v>
      </c>
      <c r="AQ75" s="146">
        <f t="shared" si="108"/>
        <v>0</v>
      </c>
      <c r="AR75" s="146">
        <f t="shared" si="83"/>
        <v>0</v>
      </c>
      <c r="AS75" s="146">
        <f t="shared" si="109"/>
        <v>0</v>
      </c>
      <c r="AT75" s="146">
        <f t="shared" si="84"/>
        <v>0</v>
      </c>
      <c r="AU75" s="146">
        <f t="shared" si="110"/>
        <v>0</v>
      </c>
      <c r="AV75" s="146">
        <f t="shared" si="85"/>
        <v>0</v>
      </c>
      <c r="AW75" s="146">
        <f t="shared" si="111"/>
        <v>0</v>
      </c>
      <c r="AX75" s="146">
        <f t="shared" si="86"/>
        <v>0</v>
      </c>
      <c r="AY75" s="146">
        <f t="shared" si="112"/>
        <v>0</v>
      </c>
      <c r="AZ75" s="146">
        <f t="shared" si="87"/>
        <v>0</v>
      </c>
      <c r="BA75" s="146">
        <f t="shared" si="113"/>
        <v>0</v>
      </c>
      <c r="BB75" s="146">
        <f t="shared" si="88"/>
        <v>0</v>
      </c>
      <c r="BC75" s="146">
        <f t="shared" si="114"/>
        <v>0</v>
      </c>
      <c r="BD75" s="146">
        <f t="shared" si="89"/>
        <v>0</v>
      </c>
      <c r="BE75" s="146">
        <f t="shared" si="115"/>
        <v>0</v>
      </c>
      <c r="BF75" s="146">
        <f t="shared" si="90"/>
        <v>0</v>
      </c>
      <c r="BG75" s="146">
        <f t="shared" si="116"/>
        <v>0</v>
      </c>
      <c r="BH75" s="146">
        <f t="shared" si="91"/>
        <v>0</v>
      </c>
      <c r="BI75" s="146">
        <f t="shared" si="117"/>
        <v>0</v>
      </c>
      <c r="BJ75" s="146">
        <f t="shared" si="92"/>
        <v>0</v>
      </c>
      <c r="BK75" s="146">
        <f t="shared" si="118"/>
        <v>0</v>
      </c>
      <c r="BL75" s="146">
        <f t="shared" si="93"/>
        <v>0</v>
      </c>
      <c r="BM75" s="146">
        <f t="shared" si="119"/>
        <v>0</v>
      </c>
      <c r="BN75" s="146">
        <f t="shared" si="94"/>
        <v>0</v>
      </c>
      <c r="BO75" s="146">
        <f t="shared" si="120"/>
        <v>0</v>
      </c>
      <c r="BP75" s="146">
        <f t="shared" si="95"/>
        <v>0</v>
      </c>
      <c r="BQ75" s="146">
        <f t="shared" si="121"/>
        <v>0</v>
      </c>
      <c r="BR75" s="146">
        <f t="shared" si="96"/>
        <v>0</v>
      </c>
      <c r="BS75" s="146">
        <f t="shared" si="122"/>
        <v>0</v>
      </c>
      <c r="BT75" s="146">
        <f t="shared" si="97"/>
        <v>0</v>
      </c>
      <c r="BU75" s="146">
        <f t="shared" si="123"/>
        <v>0</v>
      </c>
      <c r="BV75" s="146">
        <f t="shared" si="98"/>
        <v>0</v>
      </c>
      <c r="BW75" s="146">
        <f t="shared" si="124"/>
        <v>0</v>
      </c>
      <c r="BX75" s="146">
        <f t="shared" si="99"/>
        <v>0</v>
      </c>
      <c r="BY75" s="146">
        <f t="shared" si="125"/>
        <v>0</v>
      </c>
      <c r="BZ75" s="146">
        <f t="shared" si="100"/>
        <v>0</v>
      </c>
      <c r="CA75" s="146">
        <v>70</v>
      </c>
      <c r="CB75" s="147">
        <v>802940</v>
      </c>
      <c r="CC75" s="147">
        <f t="shared" si="72"/>
        <v>16972</v>
      </c>
      <c r="CD75" s="148">
        <f t="shared" si="73"/>
        <v>2.113732034772212E-2</v>
      </c>
      <c r="CE75" s="146">
        <v>15.3</v>
      </c>
      <c r="CF75" s="147">
        <v>886485</v>
      </c>
      <c r="CG75" s="147">
        <f t="shared" si="74"/>
        <v>10065</v>
      </c>
      <c r="CH75" s="149">
        <f t="shared" si="75"/>
        <v>1.1353830014044232E-2</v>
      </c>
      <c r="CI75" s="146">
        <v>18.600000000000001</v>
      </c>
      <c r="CJ75" s="146">
        <v>70</v>
      </c>
      <c r="CK75" s="146">
        <v>10.96</v>
      </c>
      <c r="CL75" s="146">
        <v>13.22</v>
      </c>
    </row>
    <row r="76" spans="3:90" s="146" customFormat="1" ht="13.5" customHeight="1" x14ac:dyDescent="0.35">
      <c r="K76" s="146">
        <f>AA85</f>
        <v>1000000</v>
      </c>
      <c r="Z76" s="146">
        <f t="shared" si="128"/>
        <v>1</v>
      </c>
      <c r="AA76" s="146">
        <f t="shared" si="129"/>
        <v>0</v>
      </c>
      <c r="AB76" s="146">
        <v>2014</v>
      </c>
      <c r="AC76" s="150">
        <v>616000</v>
      </c>
      <c r="AD76" s="151"/>
      <c r="AE76" s="151"/>
      <c r="AF76" s="151" t="str">
        <f ca="1">+IF(ISERR(AF75)=TRUE,"",AF75*#REF!/100)</f>
        <v/>
      </c>
      <c r="AG76" s="151"/>
      <c r="AH76" s="151"/>
      <c r="AI76" s="151"/>
      <c r="AJ76" s="146" t="e">
        <f ca="1">+AI75*$AF$80</f>
        <v>#REF!</v>
      </c>
      <c r="AK76" s="146">
        <f t="shared" si="105"/>
        <v>0</v>
      </c>
      <c r="AL76" s="146">
        <f t="shared" si="80"/>
        <v>0</v>
      </c>
      <c r="AM76" s="146">
        <f t="shared" si="106"/>
        <v>0</v>
      </c>
      <c r="AN76" s="146">
        <f t="shared" si="81"/>
        <v>0</v>
      </c>
      <c r="AO76" s="146">
        <f t="shared" si="107"/>
        <v>0</v>
      </c>
      <c r="AP76" s="146">
        <f t="shared" si="82"/>
        <v>0</v>
      </c>
      <c r="AQ76" s="146">
        <f t="shared" si="108"/>
        <v>0</v>
      </c>
      <c r="AR76" s="146">
        <f t="shared" si="83"/>
        <v>0</v>
      </c>
      <c r="AS76" s="146">
        <f t="shared" si="109"/>
        <v>0</v>
      </c>
      <c r="AT76" s="146">
        <f t="shared" si="84"/>
        <v>0</v>
      </c>
      <c r="AU76" s="146">
        <f t="shared" si="110"/>
        <v>0</v>
      </c>
      <c r="AV76" s="146">
        <f t="shared" si="85"/>
        <v>0</v>
      </c>
      <c r="AW76" s="146">
        <f t="shared" si="111"/>
        <v>0</v>
      </c>
      <c r="AX76" s="146">
        <f t="shared" si="86"/>
        <v>0</v>
      </c>
      <c r="AY76" s="146">
        <f t="shared" si="112"/>
        <v>0</v>
      </c>
      <c r="AZ76" s="146">
        <f t="shared" si="87"/>
        <v>0</v>
      </c>
      <c r="BA76" s="146">
        <f t="shared" si="113"/>
        <v>0</v>
      </c>
      <c r="BB76" s="146">
        <f t="shared" si="88"/>
        <v>0</v>
      </c>
      <c r="BC76" s="146">
        <f t="shared" si="114"/>
        <v>0</v>
      </c>
      <c r="BD76" s="146">
        <f t="shared" si="89"/>
        <v>0</v>
      </c>
      <c r="BE76" s="146">
        <f t="shared" si="115"/>
        <v>0</v>
      </c>
      <c r="BF76" s="146">
        <f t="shared" si="90"/>
        <v>0</v>
      </c>
      <c r="BG76" s="146">
        <f t="shared" si="116"/>
        <v>0</v>
      </c>
      <c r="BH76" s="146">
        <f t="shared" si="91"/>
        <v>0</v>
      </c>
      <c r="BI76" s="146">
        <f t="shared" si="117"/>
        <v>0</v>
      </c>
      <c r="BJ76" s="146">
        <f t="shared" si="92"/>
        <v>0</v>
      </c>
      <c r="BK76" s="146">
        <f t="shared" si="118"/>
        <v>0</v>
      </c>
      <c r="BL76" s="146">
        <f t="shared" si="93"/>
        <v>0</v>
      </c>
      <c r="BM76" s="146">
        <f t="shared" si="119"/>
        <v>0</v>
      </c>
      <c r="BN76" s="146">
        <f t="shared" si="94"/>
        <v>0</v>
      </c>
      <c r="BO76" s="146">
        <f t="shared" si="120"/>
        <v>0</v>
      </c>
      <c r="BP76" s="146">
        <f t="shared" si="95"/>
        <v>0</v>
      </c>
      <c r="BQ76" s="146">
        <f t="shared" si="121"/>
        <v>0</v>
      </c>
      <c r="BR76" s="146">
        <f t="shared" si="96"/>
        <v>0</v>
      </c>
      <c r="BS76" s="146">
        <f t="shared" si="122"/>
        <v>0</v>
      </c>
      <c r="BT76" s="146">
        <f t="shared" si="97"/>
        <v>0</v>
      </c>
      <c r="BU76" s="146">
        <f t="shared" si="123"/>
        <v>0</v>
      </c>
      <c r="BV76" s="146">
        <f t="shared" si="98"/>
        <v>0</v>
      </c>
      <c r="BW76" s="146">
        <f t="shared" si="124"/>
        <v>0</v>
      </c>
      <c r="BX76" s="146">
        <f t="shared" si="99"/>
        <v>0</v>
      </c>
      <c r="BY76" s="146">
        <f t="shared" si="125"/>
        <v>0</v>
      </c>
      <c r="BZ76" s="146">
        <f t="shared" si="100"/>
        <v>0</v>
      </c>
      <c r="CA76" s="146">
        <v>71</v>
      </c>
      <c r="CB76" s="147">
        <v>785968</v>
      </c>
      <c r="CC76" s="147">
        <f t="shared" si="72"/>
        <v>18310</v>
      </c>
      <c r="CD76" s="148">
        <f t="shared" si="73"/>
        <v>2.329611383669564E-2</v>
      </c>
      <c r="CE76" s="146">
        <v>14.6</v>
      </c>
      <c r="CF76" s="147">
        <v>876420</v>
      </c>
      <c r="CG76" s="147">
        <f t="shared" si="74"/>
        <v>11036</v>
      </c>
      <c r="CH76" s="149">
        <f t="shared" si="75"/>
        <v>1.2592136190410989E-2</v>
      </c>
      <c r="CI76" s="146">
        <v>17.8</v>
      </c>
      <c r="CJ76" s="146">
        <v>71</v>
      </c>
      <c r="CK76" s="146">
        <v>10.47</v>
      </c>
      <c r="CL76" s="146">
        <v>12.61</v>
      </c>
    </row>
    <row r="77" spans="3:90" s="146" customFormat="1" ht="13.5" customHeight="1" x14ac:dyDescent="0.35">
      <c r="Z77" s="146">
        <f t="shared" si="128"/>
        <v>1</v>
      </c>
      <c r="AA77" s="146">
        <f t="shared" si="129"/>
        <v>0</v>
      </c>
      <c r="AB77" s="146">
        <v>2015</v>
      </c>
      <c r="AC77" s="153">
        <v>644350</v>
      </c>
      <c r="AD77" s="151"/>
      <c r="AE77" s="151"/>
      <c r="AF77" s="151" t="e">
        <f>+IF(#REF!="","",IF(K6="","",#REF!*K6))</f>
        <v>#REF!</v>
      </c>
      <c r="AG77" s="151"/>
      <c r="AH77" s="151"/>
      <c r="AI77" s="151"/>
      <c r="AJ77" s="151"/>
      <c r="AK77" s="146">
        <f t="shared" si="105"/>
        <v>0</v>
      </c>
      <c r="AL77" s="146">
        <f t="shared" si="80"/>
        <v>0</v>
      </c>
      <c r="AM77" s="146">
        <f t="shared" si="106"/>
        <v>0</v>
      </c>
      <c r="AN77" s="146">
        <f t="shared" si="81"/>
        <v>0</v>
      </c>
      <c r="AO77" s="146">
        <f t="shared" si="107"/>
        <v>0</v>
      </c>
      <c r="AP77" s="146">
        <f t="shared" si="82"/>
        <v>0</v>
      </c>
      <c r="AQ77" s="146">
        <f t="shared" si="108"/>
        <v>0</v>
      </c>
      <c r="AR77" s="146">
        <f t="shared" si="83"/>
        <v>0</v>
      </c>
      <c r="AS77" s="146">
        <f t="shared" si="109"/>
        <v>0</v>
      </c>
      <c r="AT77" s="146">
        <f t="shared" si="84"/>
        <v>0</v>
      </c>
      <c r="AU77" s="146">
        <f t="shared" si="110"/>
        <v>0</v>
      </c>
      <c r="AV77" s="146">
        <f t="shared" si="85"/>
        <v>0</v>
      </c>
      <c r="AW77" s="146">
        <f t="shared" si="111"/>
        <v>0</v>
      </c>
      <c r="AX77" s="146">
        <f t="shared" si="86"/>
        <v>0</v>
      </c>
      <c r="AY77" s="146">
        <f t="shared" si="112"/>
        <v>0</v>
      </c>
      <c r="AZ77" s="146">
        <f t="shared" si="87"/>
        <v>0</v>
      </c>
      <c r="BA77" s="146">
        <f t="shared" si="113"/>
        <v>0</v>
      </c>
      <c r="BB77" s="146">
        <f t="shared" si="88"/>
        <v>0</v>
      </c>
      <c r="BC77" s="146">
        <f t="shared" si="114"/>
        <v>0</v>
      </c>
      <c r="BD77" s="146">
        <f t="shared" si="89"/>
        <v>0</v>
      </c>
      <c r="BE77" s="146">
        <f t="shared" si="115"/>
        <v>0</v>
      </c>
      <c r="BF77" s="146">
        <f t="shared" si="90"/>
        <v>0</v>
      </c>
      <c r="BG77" s="146">
        <f t="shared" si="116"/>
        <v>0</v>
      </c>
      <c r="BH77" s="146">
        <f t="shared" si="91"/>
        <v>0</v>
      </c>
      <c r="BI77" s="146">
        <f t="shared" si="117"/>
        <v>0</v>
      </c>
      <c r="BJ77" s="146">
        <f t="shared" si="92"/>
        <v>0</v>
      </c>
      <c r="BK77" s="146">
        <f t="shared" si="118"/>
        <v>0</v>
      </c>
      <c r="BL77" s="146">
        <f t="shared" si="93"/>
        <v>0</v>
      </c>
      <c r="BM77" s="146">
        <f t="shared" si="119"/>
        <v>0</v>
      </c>
      <c r="BN77" s="146">
        <f t="shared" si="94"/>
        <v>0</v>
      </c>
      <c r="BO77" s="146">
        <f t="shared" si="120"/>
        <v>0</v>
      </c>
      <c r="BP77" s="146">
        <f t="shared" si="95"/>
        <v>0</v>
      </c>
      <c r="BQ77" s="146">
        <f t="shared" si="121"/>
        <v>0</v>
      </c>
      <c r="BR77" s="146">
        <f t="shared" si="96"/>
        <v>0</v>
      </c>
      <c r="BS77" s="146">
        <f t="shared" si="122"/>
        <v>0</v>
      </c>
      <c r="BT77" s="146">
        <f t="shared" si="97"/>
        <v>0</v>
      </c>
      <c r="BU77" s="146">
        <f t="shared" si="123"/>
        <v>0</v>
      </c>
      <c r="BV77" s="146">
        <f t="shared" si="98"/>
        <v>0</v>
      </c>
      <c r="BW77" s="146">
        <f t="shared" si="124"/>
        <v>0</v>
      </c>
      <c r="BX77" s="146">
        <f t="shared" si="99"/>
        <v>0</v>
      </c>
      <c r="BY77" s="146">
        <f t="shared" si="125"/>
        <v>0</v>
      </c>
      <c r="BZ77" s="146">
        <f t="shared" si="100"/>
        <v>0</v>
      </c>
      <c r="CA77" s="146">
        <v>72</v>
      </c>
      <c r="CB77" s="147">
        <v>767658</v>
      </c>
      <c r="CC77" s="147">
        <f t="shared" si="72"/>
        <v>19688</v>
      </c>
      <c r="CD77" s="148">
        <f t="shared" si="73"/>
        <v>2.5646837524001573E-2</v>
      </c>
      <c r="CE77" s="146">
        <v>14</v>
      </c>
      <c r="CF77" s="147">
        <v>865384</v>
      </c>
      <c r="CG77" s="147">
        <f t="shared" si="74"/>
        <v>12095</v>
      </c>
      <c r="CH77" s="149">
        <f t="shared" si="75"/>
        <v>1.397645438325645E-2</v>
      </c>
      <c r="CI77" s="146">
        <v>17</v>
      </c>
      <c r="CJ77" s="146">
        <v>72</v>
      </c>
      <c r="CK77" s="146">
        <v>10</v>
      </c>
      <c r="CL77" s="146">
        <v>12</v>
      </c>
    </row>
    <row r="78" spans="3:90" s="146" customFormat="1" ht="13.5" customHeight="1" x14ac:dyDescent="0.35">
      <c r="D78" s="146">
        <f t="shared" ref="D78:D100" si="131">IF(E18="",0,1)</f>
        <v>1</v>
      </c>
      <c r="E78" s="146">
        <f>IF(E18="",0,IF(F18="",IF(I18="",0,0),IF(H18="",0,1)))</f>
        <v>1</v>
      </c>
      <c r="H78" s="146">
        <f t="shared" ref="H78:H100" si="132">IF(E18=$D$64,100,IF(E18=$D$65,100,IF(E18=$D$66,100,IF(E18=$D$67,100,IF(E18=$D$68,50,IF(E18=$D$69,50,IF(E18=$D$70,50,IF(E18=$D$71,35,IF(E18=$D$72,35,IF(E18=$D$73,25,IF(E18=$D$74,15,0)))))))))))</f>
        <v>100</v>
      </c>
      <c r="K78" s="146">
        <f t="shared" ref="K78:K100" si="133">+$K$76*H78</f>
        <v>100000000</v>
      </c>
      <c r="M78" s="146">
        <f t="shared" ref="M78:M97" ca="1" si="134">+K78+AI20</f>
        <v>112170474.89261439</v>
      </c>
      <c r="W78" s="154"/>
      <c r="Z78" s="146">
        <f t="shared" si="128"/>
        <v>1</v>
      </c>
      <c r="AA78" s="146">
        <f t="shared" si="129"/>
        <v>0</v>
      </c>
      <c r="AB78" s="146">
        <v>2016</v>
      </c>
      <c r="AC78" s="146">
        <v>689454</v>
      </c>
      <c r="AF78" s="146" t="e">
        <f ca="1">IF(AF76&lt;AF77,AF77,AF76)</f>
        <v>#REF!</v>
      </c>
      <c r="AH78" s="151"/>
      <c r="AI78" s="151"/>
      <c r="AJ78" s="151"/>
      <c r="AK78" s="146">
        <f t="shared" si="105"/>
        <v>0</v>
      </c>
      <c r="AL78" s="146">
        <f t="shared" si="80"/>
        <v>0</v>
      </c>
      <c r="AM78" s="146">
        <f t="shared" si="106"/>
        <v>0</v>
      </c>
      <c r="AN78" s="146">
        <f t="shared" si="81"/>
        <v>0</v>
      </c>
      <c r="AO78" s="146">
        <f t="shared" si="107"/>
        <v>0</v>
      </c>
      <c r="AP78" s="146">
        <f t="shared" si="82"/>
        <v>0</v>
      </c>
      <c r="AQ78" s="146">
        <f t="shared" si="108"/>
        <v>0</v>
      </c>
      <c r="AR78" s="146">
        <f t="shared" si="83"/>
        <v>0</v>
      </c>
      <c r="AS78" s="146">
        <f t="shared" si="109"/>
        <v>0</v>
      </c>
      <c r="AT78" s="146">
        <f t="shared" si="84"/>
        <v>0</v>
      </c>
      <c r="AU78" s="146">
        <f t="shared" si="110"/>
        <v>0</v>
      </c>
      <c r="AV78" s="146">
        <f t="shared" si="85"/>
        <v>0</v>
      </c>
      <c r="AW78" s="146">
        <f t="shared" si="111"/>
        <v>0</v>
      </c>
      <c r="AX78" s="146">
        <f t="shared" si="86"/>
        <v>0</v>
      </c>
      <c r="AY78" s="146">
        <f t="shared" si="112"/>
        <v>0</v>
      </c>
      <c r="AZ78" s="146">
        <f t="shared" si="87"/>
        <v>0</v>
      </c>
      <c r="BA78" s="146">
        <f t="shared" si="113"/>
        <v>0</v>
      </c>
      <c r="BB78" s="146">
        <f t="shared" si="88"/>
        <v>0</v>
      </c>
      <c r="BC78" s="146">
        <f t="shared" si="114"/>
        <v>0</v>
      </c>
      <c r="BD78" s="146">
        <f t="shared" si="89"/>
        <v>0</v>
      </c>
      <c r="BE78" s="146">
        <f t="shared" si="115"/>
        <v>0</v>
      </c>
      <c r="BF78" s="146">
        <f t="shared" si="90"/>
        <v>0</v>
      </c>
      <c r="BG78" s="146">
        <f t="shared" si="116"/>
        <v>0</v>
      </c>
      <c r="BH78" s="146">
        <f t="shared" si="91"/>
        <v>0</v>
      </c>
      <c r="BI78" s="146">
        <f t="shared" si="117"/>
        <v>0</v>
      </c>
      <c r="BJ78" s="146">
        <f t="shared" si="92"/>
        <v>0</v>
      </c>
      <c r="BK78" s="146">
        <f t="shared" si="118"/>
        <v>0</v>
      </c>
      <c r="BL78" s="146">
        <f t="shared" si="93"/>
        <v>0</v>
      </c>
      <c r="BM78" s="146">
        <f t="shared" si="119"/>
        <v>0</v>
      </c>
      <c r="BN78" s="146">
        <f t="shared" si="94"/>
        <v>0</v>
      </c>
      <c r="BO78" s="146">
        <f t="shared" si="120"/>
        <v>0</v>
      </c>
      <c r="BP78" s="146">
        <f t="shared" si="95"/>
        <v>0</v>
      </c>
      <c r="BQ78" s="146">
        <f t="shared" si="121"/>
        <v>0</v>
      </c>
      <c r="BR78" s="146">
        <f t="shared" si="96"/>
        <v>0</v>
      </c>
      <c r="BS78" s="146">
        <f t="shared" si="122"/>
        <v>0</v>
      </c>
      <c r="BT78" s="146">
        <f t="shared" si="97"/>
        <v>0</v>
      </c>
      <c r="BU78" s="146">
        <f t="shared" si="123"/>
        <v>0</v>
      </c>
      <c r="BV78" s="146">
        <f t="shared" si="98"/>
        <v>0</v>
      </c>
      <c r="BW78" s="146">
        <f t="shared" si="124"/>
        <v>0</v>
      </c>
      <c r="BX78" s="146">
        <f t="shared" si="99"/>
        <v>0</v>
      </c>
      <c r="BY78" s="146">
        <f t="shared" si="125"/>
        <v>0</v>
      </c>
      <c r="BZ78" s="146">
        <f t="shared" si="100"/>
        <v>0</v>
      </c>
      <c r="CA78" s="146">
        <v>73</v>
      </c>
      <c r="CB78" s="147">
        <v>747970</v>
      </c>
      <c r="CC78" s="147">
        <f t="shared" si="72"/>
        <v>21098</v>
      </c>
      <c r="CD78" s="148">
        <f t="shared" si="73"/>
        <v>2.820701365028009E-2</v>
      </c>
      <c r="CE78" s="146">
        <v>13.3</v>
      </c>
      <c r="CF78" s="147">
        <v>853289</v>
      </c>
      <c r="CG78" s="147">
        <f t="shared" si="74"/>
        <v>13245</v>
      </c>
      <c r="CH78" s="149">
        <f t="shared" si="75"/>
        <v>1.5522290806514558E-2</v>
      </c>
      <c r="CI78" s="146">
        <v>16.2</v>
      </c>
      <c r="CJ78" s="146">
        <v>73</v>
      </c>
      <c r="CK78" s="146">
        <v>9.5299999999999994</v>
      </c>
      <c r="CL78" s="146">
        <v>11.42</v>
      </c>
    </row>
    <row r="79" spans="3:90" s="146" customFormat="1" ht="13.5" customHeight="1" x14ac:dyDescent="0.35">
      <c r="C79" s="146" t="s">
        <v>7</v>
      </c>
      <c r="D79" s="146">
        <f t="shared" si="131"/>
        <v>1</v>
      </c>
      <c r="E79" s="146">
        <f t="shared" ref="E79:E96" si="135">IF(E19="",0,IF(F19="",IF(H19="",0,0),IF(H19="",0,1)))</f>
        <v>1</v>
      </c>
      <c r="H79" s="146">
        <f t="shared" si="132"/>
        <v>100</v>
      </c>
      <c r="K79" s="146">
        <f t="shared" si="133"/>
        <v>100000000</v>
      </c>
      <c r="M79" s="146">
        <f t="shared" ca="1" si="134"/>
        <v>100000000</v>
      </c>
      <c r="W79" s="154"/>
      <c r="Z79" s="146">
        <f t="shared" si="128"/>
        <v>1</v>
      </c>
      <c r="AA79" s="146">
        <f t="shared" si="129"/>
        <v>0</v>
      </c>
      <c r="AB79" s="146">
        <v>2017</v>
      </c>
      <c r="AC79" s="146">
        <v>717737</v>
      </c>
      <c r="AF79" s="146" t="e">
        <f ca="1">+AF78/AF75</f>
        <v>#REF!</v>
      </c>
      <c r="AH79" s="151"/>
      <c r="AI79" s="151"/>
      <c r="AJ79" s="151"/>
      <c r="AK79" s="146">
        <f t="shared" si="105"/>
        <v>0</v>
      </c>
      <c r="AL79" s="146">
        <f t="shared" si="80"/>
        <v>0</v>
      </c>
      <c r="AM79" s="146">
        <f t="shared" si="106"/>
        <v>0</v>
      </c>
      <c r="AN79" s="146">
        <f t="shared" si="81"/>
        <v>0</v>
      </c>
      <c r="AO79" s="146">
        <f t="shared" si="107"/>
        <v>0</v>
      </c>
      <c r="AP79" s="146">
        <f t="shared" si="82"/>
        <v>0</v>
      </c>
      <c r="AQ79" s="146">
        <f t="shared" si="108"/>
        <v>0</v>
      </c>
      <c r="AR79" s="146">
        <f t="shared" si="83"/>
        <v>0</v>
      </c>
      <c r="AS79" s="146">
        <f t="shared" si="109"/>
        <v>0</v>
      </c>
      <c r="AT79" s="146">
        <f t="shared" si="84"/>
        <v>0</v>
      </c>
      <c r="AU79" s="146">
        <f t="shared" si="110"/>
        <v>0</v>
      </c>
      <c r="AV79" s="146">
        <f t="shared" si="85"/>
        <v>0</v>
      </c>
      <c r="AW79" s="146">
        <f t="shared" si="111"/>
        <v>0</v>
      </c>
      <c r="AX79" s="146">
        <f t="shared" si="86"/>
        <v>0</v>
      </c>
      <c r="AY79" s="146">
        <f t="shared" si="112"/>
        <v>0</v>
      </c>
      <c r="AZ79" s="146">
        <f t="shared" si="87"/>
        <v>0</v>
      </c>
      <c r="BA79" s="146">
        <f t="shared" si="113"/>
        <v>0</v>
      </c>
      <c r="BB79" s="146">
        <f t="shared" si="88"/>
        <v>0</v>
      </c>
      <c r="BC79" s="146">
        <f t="shared" si="114"/>
        <v>0</v>
      </c>
      <c r="BD79" s="146">
        <f t="shared" si="89"/>
        <v>0</v>
      </c>
      <c r="BE79" s="146">
        <f t="shared" si="115"/>
        <v>0</v>
      </c>
      <c r="BF79" s="146">
        <f t="shared" si="90"/>
        <v>0</v>
      </c>
      <c r="BG79" s="146">
        <f t="shared" si="116"/>
        <v>0</v>
      </c>
      <c r="BH79" s="146">
        <f t="shared" si="91"/>
        <v>0</v>
      </c>
      <c r="BI79" s="146">
        <f t="shared" si="117"/>
        <v>0</v>
      </c>
      <c r="BJ79" s="146">
        <f t="shared" si="92"/>
        <v>0</v>
      </c>
      <c r="BK79" s="146">
        <f t="shared" si="118"/>
        <v>0</v>
      </c>
      <c r="BL79" s="146">
        <f t="shared" si="93"/>
        <v>0</v>
      </c>
      <c r="BM79" s="146">
        <f t="shared" si="119"/>
        <v>0</v>
      </c>
      <c r="BN79" s="146">
        <f t="shared" si="94"/>
        <v>0</v>
      </c>
      <c r="BO79" s="146">
        <f t="shared" si="120"/>
        <v>0</v>
      </c>
      <c r="BP79" s="146">
        <f t="shared" si="95"/>
        <v>0</v>
      </c>
      <c r="BQ79" s="146">
        <f t="shared" si="121"/>
        <v>0</v>
      </c>
      <c r="BR79" s="146">
        <f t="shared" si="96"/>
        <v>0</v>
      </c>
      <c r="BS79" s="146">
        <f t="shared" si="122"/>
        <v>0</v>
      </c>
      <c r="BT79" s="146">
        <f t="shared" si="97"/>
        <v>0</v>
      </c>
      <c r="BU79" s="146">
        <f t="shared" si="123"/>
        <v>0</v>
      </c>
      <c r="BV79" s="146">
        <f t="shared" si="98"/>
        <v>0</v>
      </c>
      <c r="BW79" s="146">
        <f t="shared" si="124"/>
        <v>0</v>
      </c>
      <c r="BX79" s="146">
        <f t="shared" si="99"/>
        <v>0</v>
      </c>
      <c r="BY79" s="146">
        <f t="shared" si="125"/>
        <v>0</v>
      </c>
      <c r="BZ79" s="146">
        <f t="shared" si="100"/>
        <v>0</v>
      </c>
      <c r="CA79" s="146">
        <v>74</v>
      </c>
      <c r="CB79" s="147">
        <v>726872</v>
      </c>
      <c r="CC79" s="147">
        <f t="shared" si="72"/>
        <v>22530</v>
      </c>
      <c r="CD79" s="148">
        <f t="shared" si="73"/>
        <v>3.0995828701614589E-2</v>
      </c>
      <c r="CE79" s="146">
        <v>12.7</v>
      </c>
      <c r="CF79" s="147">
        <v>840044</v>
      </c>
      <c r="CG79" s="147">
        <f t="shared" si="74"/>
        <v>14490</v>
      </c>
      <c r="CH79" s="149">
        <f t="shared" si="75"/>
        <v>1.7249096475898881E-2</v>
      </c>
      <c r="CI79" s="146">
        <v>15.5</v>
      </c>
      <c r="CJ79" s="146">
        <v>74</v>
      </c>
      <c r="CK79" s="146">
        <v>9.08</v>
      </c>
      <c r="CL79" s="146">
        <v>10.85</v>
      </c>
    </row>
    <row r="80" spans="3:90" s="146" customFormat="1" ht="13.5" customHeight="1" x14ac:dyDescent="0.35">
      <c r="C80" s="146" t="s">
        <v>55</v>
      </c>
      <c r="D80" s="146">
        <f t="shared" si="131"/>
        <v>1</v>
      </c>
      <c r="E80" s="146">
        <f t="shared" si="135"/>
        <v>1</v>
      </c>
      <c r="H80" s="146">
        <f t="shared" si="132"/>
        <v>100</v>
      </c>
      <c r="K80" s="146">
        <f t="shared" si="133"/>
        <v>100000000</v>
      </c>
      <c r="M80" s="146">
        <f t="shared" ca="1" si="134"/>
        <v>100000000</v>
      </c>
      <c r="W80" s="154"/>
      <c r="Z80" s="146">
        <f t="shared" si="128"/>
        <v>1</v>
      </c>
      <c r="AA80" s="146">
        <f t="shared" si="129"/>
        <v>0</v>
      </c>
      <c r="AB80" s="146">
        <v>2018</v>
      </c>
      <c r="AC80" s="146">
        <v>781242</v>
      </c>
      <c r="AF80" s="146" t="e">
        <f ca="1">1-AF79</f>
        <v>#REF!</v>
      </c>
      <c r="AH80" s="151"/>
      <c r="AI80" s="151"/>
      <c r="AJ80" s="151"/>
      <c r="AK80" s="146">
        <f t="shared" si="105"/>
        <v>0</v>
      </c>
      <c r="AL80" s="146">
        <f t="shared" si="80"/>
        <v>0</v>
      </c>
      <c r="AM80" s="146">
        <f t="shared" si="106"/>
        <v>0</v>
      </c>
      <c r="AN80" s="146">
        <f t="shared" si="81"/>
        <v>0</v>
      </c>
      <c r="AO80" s="146">
        <f t="shared" si="107"/>
        <v>0</v>
      </c>
      <c r="AP80" s="146">
        <f t="shared" si="82"/>
        <v>0</v>
      </c>
      <c r="AQ80" s="146">
        <f t="shared" si="108"/>
        <v>0</v>
      </c>
      <c r="AR80" s="146">
        <f t="shared" si="83"/>
        <v>0</v>
      </c>
      <c r="AS80" s="146">
        <f t="shared" si="109"/>
        <v>0</v>
      </c>
      <c r="AT80" s="146">
        <f t="shared" si="84"/>
        <v>0</v>
      </c>
      <c r="AU80" s="146">
        <f t="shared" si="110"/>
        <v>0</v>
      </c>
      <c r="AV80" s="146">
        <f t="shared" si="85"/>
        <v>0</v>
      </c>
      <c r="AW80" s="146">
        <f t="shared" si="111"/>
        <v>0</v>
      </c>
      <c r="AX80" s="146">
        <f t="shared" si="86"/>
        <v>0</v>
      </c>
      <c r="AY80" s="146">
        <f t="shared" si="112"/>
        <v>0</v>
      </c>
      <c r="AZ80" s="146">
        <f t="shared" si="87"/>
        <v>0</v>
      </c>
      <c r="BA80" s="146">
        <f t="shared" si="113"/>
        <v>0</v>
      </c>
      <c r="BB80" s="146">
        <f t="shared" si="88"/>
        <v>0</v>
      </c>
      <c r="BC80" s="146">
        <f t="shared" si="114"/>
        <v>0</v>
      </c>
      <c r="BD80" s="146">
        <f t="shared" si="89"/>
        <v>0</v>
      </c>
      <c r="BE80" s="146">
        <f t="shared" si="115"/>
        <v>0</v>
      </c>
      <c r="BF80" s="146">
        <f t="shared" si="90"/>
        <v>0</v>
      </c>
      <c r="BG80" s="146">
        <f t="shared" si="116"/>
        <v>0</v>
      </c>
      <c r="BH80" s="146">
        <f t="shared" si="91"/>
        <v>0</v>
      </c>
      <c r="BI80" s="146">
        <f t="shared" si="117"/>
        <v>0</v>
      </c>
      <c r="BJ80" s="146">
        <f t="shared" si="92"/>
        <v>0</v>
      </c>
      <c r="BK80" s="146">
        <f t="shared" si="118"/>
        <v>0</v>
      </c>
      <c r="BL80" s="146">
        <f t="shared" si="93"/>
        <v>0</v>
      </c>
      <c r="BM80" s="146">
        <f t="shared" si="119"/>
        <v>0</v>
      </c>
      <c r="BN80" s="146">
        <f t="shared" si="94"/>
        <v>0</v>
      </c>
      <c r="BO80" s="146">
        <f t="shared" si="120"/>
        <v>0</v>
      </c>
      <c r="BP80" s="146">
        <f t="shared" si="95"/>
        <v>0</v>
      </c>
      <c r="BQ80" s="146">
        <f t="shared" si="121"/>
        <v>0</v>
      </c>
      <c r="BR80" s="146">
        <f t="shared" si="96"/>
        <v>0</v>
      </c>
      <c r="BS80" s="146">
        <f t="shared" si="122"/>
        <v>0</v>
      </c>
      <c r="BT80" s="146">
        <f t="shared" si="97"/>
        <v>0</v>
      </c>
      <c r="BU80" s="146">
        <f t="shared" si="123"/>
        <v>0</v>
      </c>
      <c r="BV80" s="146">
        <f t="shared" si="98"/>
        <v>0</v>
      </c>
      <c r="BW80" s="146">
        <f t="shared" si="124"/>
        <v>0</v>
      </c>
      <c r="BX80" s="146">
        <f t="shared" si="99"/>
        <v>0</v>
      </c>
      <c r="BY80" s="146">
        <f t="shared" si="125"/>
        <v>0</v>
      </c>
      <c r="BZ80" s="146">
        <f t="shared" si="100"/>
        <v>0</v>
      </c>
      <c r="CA80" s="146">
        <v>75</v>
      </c>
      <c r="CB80" s="147">
        <v>704342</v>
      </c>
      <c r="CC80" s="147">
        <f>+CB80-CB81</f>
        <v>23970</v>
      </c>
      <c r="CD80" s="148">
        <f t="shared" si="73"/>
        <v>3.4031762978780196E-2</v>
      </c>
      <c r="CE80" s="146">
        <v>12.1</v>
      </c>
      <c r="CF80" s="147">
        <v>825554</v>
      </c>
      <c r="CG80" s="147">
        <f>+CF80-CF81</f>
        <v>15832</v>
      </c>
      <c r="CH80" s="149">
        <f t="shared" si="75"/>
        <v>1.9177425098782151E-2</v>
      </c>
      <c r="CI80" s="146">
        <v>14.7</v>
      </c>
      <c r="CJ80" s="146">
        <v>75</v>
      </c>
      <c r="CK80" s="146">
        <v>8.65</v>
      </c>
      <c r="CL80" s="146">
        <v>10.29</v>
      </c>
    </row>
    <row r="81" spans="3:90" s="146" customFormat="1" ht="13.5" customHeight="1" x14ac:dyDescent="0.35">
      <c r="C81" s="146" t="s">
        <v>57</v>
      </c>
      <c r="D81" s="146">
        <f t="shared" si="131"/>
        <v>1</v>
      </c>
      <c r="E81" s="146">
        <f>IF(E21="",0,IF(F21="",IF(H21="",0,0),IF(H21="",0,1)))</f>
        <v>1</v>
      </c>
      <c r="H81" s="146">
        <f t="shared" si="132"/>
        <v>50</v>
      </c>
      <c r="K81" s="146">
        <f t="shared" si="133"/>
        <v>50000000</v>
      </c>
      <c r="M81" s="146">
        <f t="shared" ca="1" si="134"/>
        <v>50000000</v>
      </c>
      <c r="W81" s="154"/>
      <c r="Z81" s="146">
        <f t="shared" si="128"/>
        <v>1</v>
      </c>
      <c r="AA81" s="146">
        <f>IF($AA$60=AB81,AC81,0)</f>
        <v>0</v>
      </c>
      <c r="AB81" s="146">
        <v>2019</v>
      </c>
      <c r="AC81" s="146">
        <v>828116</v>
      </c>
      <c r="AH81" s="151"/>
      <c r="AI81" s="151" t="e">
        <f ca="1">+AJ20*$AF$80</f>
        <v>#REF!</v>
      </c>
      <c r="AJ81" s="151"/>
      <c r="AK81" s="146">
        <f t="shared" si="105"/>
        <v>0</v>
      </c>
      <c r="AL81" s="146">
        <f t="shared" si="80"/>
        <v>0</v>
      </c>
      <c r="AM81" s="146">
        <f t="shared" si="106"/>
        <v>0</v>
      </c>
      <c r="AN81" s="146">
        <f t="shared" si="81"/>
        <v>0</v>
      </c>
      <c r="AO81" s="146">
        <f t="shared" si="107"/>
        <v>0</v>
      </c>
      <c r="AP81" s="146">
        <f t="shared" si="82"/>
        <v>0</v>
      </c>
      <c r="AQ81" s="146">
        <f t="shared" si="108"/>
        <v>0</v>
      </c>
      <c r="AR81" s="146">
        <f t="shared" si="83"/>
        <v>0</v>
      </c>
      <c r="AS81" s="146">
        <f t="shared" si="109"/>
        <v>0</v>
      </c>
      <c r="AT81" s="146">
        <f t="shared" si="84"/>
        <v>0</v>
      </c>
      <c r="AU81" s="146">
        <f t="shared" si="110"/>
        <v>0</v>
      </c>
      <c r="AV81" s="146">
        <f t="shared" si="85"/>
        <v>0</v>
      </c>
      <c r="AW81" s="146">
        <f t="shared" si="111"/>
        <v>0</v>
      </c>
      <c r="AX81" s="146">
        <f t="shared" si="86"/>
        <v>0</v>
      </c>
      <c r="AY81" s="146">
        <f t="shared" si="112"/>
        <v>0</v>
      </c>
      <c r="AZ81" s="146">
        <f t="shared" si="87"/>
        <v>0</v>
      </c>
      <c r="BA81" s="146">
        <f t="shared" si="113"/>
        <v>0</v>
      </c>
      <c r="BB81" s="146">
        <f t="shared" si="88"/>
        <v>0</v>
      </c>
      <c r="BC81" s="146">
        <f t="shared" si="114"/>
        <v>0</v>
      </c>
      <c r="BD81" s="146">
        <f t="shared" si="89"/>
        <v>0</v>
      </c>
      <c r="BE81" s="146">
        <f t="shared" si="115"/>
        <v>0</v>
      </c>
      <c r="BF81" s="146">
        <f t="shared" si="90"/>
        <v>0</v>
      </c>
      <c r="BG81" s="146">
        <f t="shared" si="116"/>
        <v>0</v>
      </c>
      <c r="BH81" s="146">
        <f t="shared" si="91"/>
        <v>0</v>
      </c>
      <c r="BI81" s="146">
        <f t="shared" si="117"/>
        <v>0</v>
      </c>
      <c r="BJ81" s="146">
        <f t="shared" si="92"/>
        <v>0</v>
      </c>
      <c r="BK81" s="146">
        <f t="shared" si="118"/>
        <v>0</v>
      </c>
      <c r="BL81" s="146">
        <f t="shared" si="93"/>
        <v>0</v>
      </c>
      <c r="BM81" s="146">
        <f t="shared" si="119"/>
        <v>0</v>
      </c>
      <c r="BN81" s="146">
        <f t="shared" si="94"/>
        <v>0</v>
      </c>
      <c r="BO81" s="146">
        <f t="shared" si="120"/>
        <v>0</v>
      </c>
      <c r="BP81" s="146">
        <f t="shared" si="95"/>
        <v>0</v>
      </c>
      <c r="BQ81" s="146">
        <f t="shared" si="121"/>
        <v>0</v>
      </c>
      <c r="BR81" s="146">
        <f t="shared" si="96"/>
        <v>0</v>
      </c>
      <c r="BS81" s="146">
        <f t="shared" si="122"/>
        <v>0</v>
      </c>
      <c r="BT81" s="146">
        <f t="shared" si="97"/>
        <v>0</v>
      </c>
      <c r="BU81" s="146">
        <f t="shared" si="123"/>
        <v>0</v>
      </c>
      <c r="BV81" s="146">
        <f t="shared" si="98"/>
        <v>0</v>
      </c>
      <c r="BW81" s="146">
        <f t="shared" si="124"/>
        <v>0</v>
      </c>
      <c r="BX81" s="146">
        <f t="shared" si="99"/>
        <v>0</v>
      </c>
      <c r="BY81" s="146">
        <f t="shared" si="125"/>
        <v>0</v>
      </c>
      <c r="BZ81" s="146">
        <f t="shared" si="100"/>
        <v>0</v>
      </c>
      <c r="CA81" s="146">
        <v>76</v>
      </c>
      <c r="CB81" s="147">
        <v>680372</v>
      </c>
      <c r="CC81" s="147">
        <f t="shared" si="72"/>
        <v>25402</v>
      </c>
      <c r="CD81" s="148">
        <f t="shared" si="73"/>
        <v>3.7335457661397002E-2</v>
      </c>
      <c r="CE81" s="146">
        <v>11.5</v>
      </c>
      <c r="CF81" s="147">
        <v>809722</v>
      </c>
      <c r="CG81" s="147">
        <f t="shared" si="74"/>
        <v>17272</v>
      </c>
      <c r="CH81" s="149">
        <f t="shared" si="75"/>
        <v>2.1330777723712582E-2</v>
      </c>
      <c r="CI81" s="146">
        <v>14</v>
      </c>
      <c r="CJ81" s="146">
        <v>76</v>
      </c>
      <c r="CK81" s="146">
        <v>8.2200000000000006</v>
      </c>
      <c r="CL81" s="146">
        <v>9.75</v>
      </c>
    </row>
    <row r="82" spans="3:90" s="146" customFormat="1" ht="13.5" customHeight="1" x14ac:dyDescent="0.35">
      <c r="C82" s="146" t="s">
        <v>56</v>
      </c>
      <c r="D82" s="146">
        <f t="shared" si="131"/>
        <v>1</v>
      </c>
      <c r="E82" s="146">
        <f>IF(E22="",0,IF(F22="",IF(H22="",0,0),IF(H22="",0,1)))</f>
        <v>0</v>
      </c>
      <c r="H82" s="146">
        <f t="shared" si="132"/>
        <v>50</v>
      </c>
      <c r="K82" s="146">
        <f t="shared" si="133"/>
        <v>50000000</v>
      </c>
      <c r="M82" s="146">
        <f t="shared" ca="1" si="134"/>
        <v>50000000</v>
      </c>
      <c r="W82" s="154"/>
      <c r="Z82" s="146">
        <f t="shared" si="128"/>
        <v>1</v>
      </c>
      <c r="AA82" s="146">
        <f>IF($AA$60=AB82,AC82,0)</f>
        <v>0</v>
      </c>
      <c r="AB82" s="146">
        <v>2020</v>
      </c>
      <c r="AC82" s="146">
        <v>877803</v>
      </c>
      <c r="AI82" s="151" t="e">
        <f ca="1">+AJ21*$AF$80</f>
        <v>#REF!</v>
      </c>
      <c r="AJ82" s="151"/>
      <c r="AK82" s="146">
        <f t="shared" ref="AK82:AK116" si="136">IF(AL82=1,IF($H$37="M",CI82,IF($H$37="H",CE82,IF($H$37="H Invalido",CK82,IF($H$37="M Invalida",CL82,0)))),0)</f>
        <v>0</v>
      </c>
      <c r="AL82" s="146">
        <f t="shared" si="80"/>
        <v>0</v>
      </c>
      <c r="AM82" s="146">
        <f t="shared" ref="AM82:AM116" si="137">IF(AN82=1,IF($H$36="M",CI82,IF($H$36="H",CE82,IF($H$36="H Invalido",CK82,IF($H$36="M Invalida",CL82,0)))),0)</f>
        <v>0</v>
      </c>
      <c r="AN82" s="146">
        <f t="shared" si="81"/>
        <v>0</v>
      </c>
      <c r="AO82" s="146">
        <f t="shared" ref="AO82:AO116" si="138">IF(AP82=1,IF($H$35="M",CI82,IF($H$35="H",CE82,IF($H$35="H Invalido",CK82,IF($H$35="M Invalida",CL82,0)))),0)</f>
        <v>0</v>
      </c>
      <c r="AP82" s="146">
        <f t="shared" si="82"/>
        <v>0</v>
      </c>
      <c r="AQ82" s="146">
        <f t="shared" ref="AQ82:AQ116" si="139">IF(AR82=1,IF($H$34="M",CI82,IF($H$34="H",CE82,IF($H$34="H Invalido",CK82,IF($H$34="M Invalida",CL82,0)))),0)</f>
        <v>0</v>
      </c>
      <c r="AR82" s="146">
        <f t="shared" si="83"/>
        <v>0</v>
      </c>
      <c r="AS82" s="146">
        <f t="shared" ref="AS82:AS116" si="140">IF(AT82=1,IF($H$33="M",CI82,IF($H$33="H",CE82,IF($H$33="H Invalido",CK82,IF($H$33="M Invalida",CL82,0)))),0)</f>
        <v>0</v>
      </c>
      <c r="AT82" s="146">
        <f t="shared" si="84"/>
        <v>0</v>
      </c>
      <c r="AU82" s="146">
        <f t="shared" ref="AU82:AU116" si="141">IF(AV82=1,IF($H$32="M",CI82,IF($H$32="H",CE82,IF($H$32="H Invalido",CK82,IF($H$32="M Invalida",CL82,0)))),0)</f>
        <v>0</v>
      </c>
      <c r="AV82" s="146">
        <f t="shared" si="85"/>
        <v>0</v>
      </c>
      <c r="AW82" s="146">
        <f t="shared" ref="AW82:AW116" si="142">IF(AX82=1,IF($H$31="M",CI82,IF($H$31="H",CE82,IF($H$31="H Invalido",CK82,IF($H$31="M Invalida",CL82,0)))),0)</f>
        <v>0</v>
      </c>
      <c r="AX82" s="146">
        <f t="shared" si="86"/>
        <v>0</v>
      </c>
      <c r="AY82" s="146">
        <f t="shared" ref="AY82:AY116" si="143">IF(AZ82=1,IF($H$30="M",CI82,IF($H$30="H",CE82,IF($H$30="H Invalido",CK82,IF($H$30="M Invalida",CL82,0)))),0)</f>
        <v>0</v>
      </c>
      <c r="AZ82" s="146">
        <f t="shared" si="87"/>
        <v>0</v>
      </c>
      <c r="BA82" s="146">
        <f t="shared" ref="BA82:BA116" si="144">IF(BB82=1,IF($H$29="M",CI82,IF($H$29="H",CE82,IF($H$29="H Invalido",CK82,IF($H$29="M Invalida",CL82,0)))),0)</f>
        <v>0</v>
      </c>
      <c r="BB82" s="146">
        <f t="shared" si="88"/>
        <v>0</v>
      </c>
      <c r="BC82" s="146">
        <f t="shared" ref="BC82:BC116" si="145">IF(BD82=1,IF($H$28="M",CI82,IF($H$28="H",CE82,IF($H$28="H Invalido",CK82,IF($H$28="M Invalida",CL82,0)))),0)</f>
        <v>0</v>
      </c>
      <c r="BD82" s="146">
        <f t="shared" si="89"/>
        <v>0</v>
      </c>
      <c r="BE82" s="146">
        <f t="shared" ref="BE82:BE116" si="146">IF(BF82=1,IF($H$27="M",CI82,IF($H$27="H",CE82,IF($H$27="H Invalido",CK82,IF($H$27="M Invalida",CL82,0)))),0)</f>
        <v>0</v>
      </c>
      <c r="BF82" s="146">
        <f t="shared" si="90"/>
        <v>0</v>
      </c>
      <c r="BG82" s="146">
        <f t="shared" ref="BG82:BG116" si="147">IF(BH82=1,IF($H$26="M",CI82,IF($H$26="H",CE82,IF($H$26="H Invalido",CK82,IF($H$26="M Invalida",CL82,0)))),0)</f>
        <v>0</v>
      </c>
      <c r="BH82" s="146">
        <f t="shared" si="91"/>
        <v>0</v>
      </c>
      <c r="BI82" s="146">
        <f t="shared" ref="BI82:BI116" si="148">IF(BJ82=1,IF($H$25="M",CI82,IF($H$25="H",CE82,IF($H$25="H Invalido",CK82,IF($H$25="M Invalida",CL82,0)))),0)</f>
        <v>0</v>
      </c>
      <c r="BJ82" s="146">
        <f t="shared" si="92"/>
        <v>0</v>
      </c>
      <c r="BK82" s="146">
        <f t="shared" ref="BK82:BK116" si="149">IF(BL82=1,IF($H$24="M",CI82,IF($H$24="H",CE82,IF($H$24="H Invalido",CK82,IF($H$24="M Invalida",CL82,0)))),0)</f>
        <v>0</v>
      </c>
      <c r="BL82" s="146">
        <f t="shared" si="93"/>
        <v>0</v>
      </c>
      <c r="BM82" s="146">
        <f t="shared" ref="BM82:BM116" si="150">IF(BN82=1,IF($H$23="M",CI82,IF($H$23="H",CE82,IF($H$23="H Invalido",CK82,IF($H$23="M Invalida",CL82,0)))),0)</f>
        <v>0</v>
      </c>
      <c r="BN82" s="146">
        <f t="shared" si="94"/>
        <v>0</v>
      </c>
      <c r="BO82" s="146">
        <f t="shared" ref="BO82:BO116" si="151">IF(BP82=1,IF($H$22="M",CI82,IF($H$22="H",CE82,IF($H$22="H Invalido",CK82,IF($H$22="M Invalida",CL82,0)))),0)</f>
        <v>0</v>
      </c>
      <c r="BP82" s="146">
        <f t="shared" si="95"/>
        <v>0</v>
      </c>
      <c r="BQ82" s="146">
        <f t="shared" ref="BQ82:BQ116" si="152">IF(BR82=1,IF($H$21="M",CI82,IF($H$21="H",CE82,IF($H$21="H Invalido",CK82,IF($H$21="M Invalida",CL82,0)))),0)</f>
        <v>0</v>
      </c>
      <c r="BR82" s="146">
        <f t="shared" si="96"/>
        <v>0</v>
      </c>
      <c r="BS82" s="146">
        <f t="shared" ref="BS82:BS116" si="153">IF(BT82=1,IF($H$20="M",CI82,IF($H$20="H",CE82,IF($H$20="H Invalido",CK82,IF($H$20="M Invalida",CL82,0)))),0)</f>
        <v>0</v>
      </c>
      <c r="BT82" s="146">
        <f t="shared" si="97"/>
        <v>0</v>
      </c>
      <c r="BU82" s="146">
        <f t="shared" ref="BU82:BU116" si="154">IF(BV82=1,IF($H$19="M",CI82,IF($H$19="H",CE82,IF($H$19="H Invalido",CK82,IF($H$19="M Invalida",CL82,0)))),0)</f>
        <v>0</v>
      </c>
      <c r="BV82" s="146">
        <f t="shared" si="98"/>
        <v>0</v>
      </c>
      <c r="BW82" s="146">
        <f t="shared" ref="BW82:BW116" si="155">IF(BX82=1,IF($H$18="M",CI82,IF($H$18="H",CE82,IF($H$18="H Invalido",CK82,IF($H$18="M Invalida",CL82,0)))),0)</f>
        <v>0</v>
      </c>
      <c r="BX82" s="146">
        <f t="shared" si="99"/>
        <v>0</v>
      </c>
      <c r="BY82" s="146">
        <f t="shared" ref="BY82:BY116" si="156">IF(BZ82=1,IF($E$10="M",CI82,IF($E$10="H",CE82,IF($E$10="H Invalido",CK82,IF($E$10="M Invalida",CL82,0)))),0)</f>
        <v>0</v>
      </c>
      <c r="BZ82" s="146">
        <f t="shared" si="100"/>
        <v>0</v>
      </c>
      <c r="CA82" s="146">
        <v>77</v>
      </c>
      <c r="CB82" s="147">
        <v>654970</v>
      </c>
      <c r="CC82" s="147">
        <f t="shared" si="72"/>
        <v>26808</v>
      </c>
      <c r="CD82" s="148">
        <f t="shared" si="73"/>
        <v>4.0930118936745197E-2</v>
      </c>
      <c r="CE82" s="146">
        <v>10.9</v>
      </c>
      <c r="CF82" s="147">
        <v>792450</v>
      </c>
      <c r="CG82" s="147">
        <f t="shared" si="74"/>
        <v>18809</v>
      </c>
      <c r="CH82" s="149">
        <f t="shared" si="75"/>
        <v>2.3735251435421795E-2</v>
      </c>
      <c r="CI82" s="146">
        <v>13.3</v>
      </c>
      <c r="CJ82" s="146">
        <v>77</v>
      </c>
      <c r="CK82" s="146">
        <v>7.81</v>
      </c>
      <c r="CL82" s="146">
        <v>9.23</v>
      </c>
    </row>
    <row r="83" spans="3:90" s="146" customFormat="1" ht="13.5" customHeight="1" x14ac:dyDescent="0.35">
      <c r="D83" s="146">
        <f t="shared" si="131"/>
        <v>1</v>
      </c>
      <c r="E83" s="146">
        <f>IF(E23="",0,IF(F23="",IF(H23="",0,0),IF(H23="",0,1)))</f>
        <v>1</v>
      </c>
      <c r="H83" s="146">
        <f t="shared" si="132"/>
        <v>50</v>
      </c>
      <c r="K83" s="146">
        <f t="shared" si="133"/>
        <v>50000000</v>
      </c>
      <c r="M83" s="146">
        <f t="shared" ca="1" si="134"/>
        <v>50000000</v>
      </c>
      <c r="W83" s="154"/>
      <c r="Z83" s="146">
        <f t="shared" si="128"/>
        <v>1</v>
      </c>
      <c r="AA83" s="146">
        <f>IF($AA$60=AB83,AC83,0)</f>
        <v>0</v>
      </c>
      <c r="AB83" s="146">
        <v>2021</v>
      </c>
      <c r="AC83" s="146">
        <v>908526</v>
      </c>
      <c r="AI83" s="151" t="e">
        <f ca="1">+AJ22*$AF$80</f>
        <v>#REF!</v>
      </c>
      <c r="AJ83" s="151"/>
      <c r="AK83" s="146">
        <f t="shared" si="136"/>
        <v>0</v>
      </c>
      <c r="AL83" s="146">
        <f t="shared" si="80"/>
        <v>0</v>
      </c>
      <c r="AM83" s="146">
        <f t="shared" si="137"/>
        <v>0</v>
      </c>
      <c r="AN83" s="146">
        <f t="shared" si="81"/>
        <v>0</v>
      </c>
      <c r="AO83" s="146">
        <f t="shared" si="138"/>
        <v>0</v>
      </c>
      <c r="AP83" s="146">
        <f t="shared" si="82"/>
        <v>0</v>
      </c>
      <c r="AQ83" s="146">
        <f t="shared" si="139"/>
        <v>0</v>
      </c>
      <c r="AR83" s="146">
        <f t="shared" si="83"/>
        <v>0</v>
      </c>
      <c r="AS83" s="146">
        <f t="shared" si="140"/>
        <v>0</v>
      </c>
      <c r="AT83" s="146">
        <f t="shared" si="84"/>
        <v>0</v>
      </c>
      <c r="AU83" s="146">
        <f t="shared" si="141"/>
        <v>0</v>
      </c>
      <c r="AV83" s="146">
        <f t="shared" si="85"/>
        <v>0</v>
      </c>
      <c r="AW83" s="146">
        <f t="shared" si="142"/>
        <v>0</v>
      </c>
      <c r="AX83" s="146">
        <f t="shared" si="86"/>
        <v>0</v>
      </c>
      <c r="AY83" s="146">
        <f t="shared" si="143"/>
        <v>0</v>
      </c>
      <c r="AZ83" s="146">
        <f t="shared" si="87"/>
        <v>0</v>
      </c>
      <c r="BA83" s="146">
        <f t="shared" si="144"/>
        <v>0</v>
      </c>
      <c r="BB83" s="146">
        <f t="shared" si="88"/>
        <v>0</v>
      </c>
      <c r="BC83" s="146">
        <f t="shared" si="145"/>
        <v>0</v>
      </c>
      <c r="BD83" s="146">
        <f t="shared" si="89"/>
        <v>0</v>
      </c>
      <c r="BE83" s="146">
        <f t="shared" si="146"/>
        <v>0</v>
      </c>
      <c r="BF83" s="146">
        <f t="shared" si="90"/>
        <v>0</v>
      </c>
      <c r="BG83" s="146">
        <f t="shared" si="147"/>
        <v>0</v>
      </c>
      <c r="BH83" s="146">
        <f t="shared" si="91"/>
        <v>0</v>
      </c>
      <c r="BI83" s="146">
        <f t="shared" si="148"/>
        <v>0</v>
      </c>
      <c r="BJ83" s="146">
        <f t="shared" si="92"/>
        <v>0</v>
      </c>
      <c r="BK83" s="146">
        <f t="shared" si="149"/>
        <v>0</v>
      </c>
      <c r="BL83" s="146">
        <f t="shared" si="93"/>
        <v>0</v>
      </c>
      <c r="BM83" s="146">
        <f t="shared" si="150"/>
        <v>0</v>
      </c>
      <c r="BN83" s="146">
        <f t="shared" si="94"/>
        <v>0</v>
      </c>
      <c r="BO83" s="146">
        <f t="shared" si="151"/>
        <v>0</v>
      </c>
      <c r="BP83" s="146">
        <f t="shared" si="95"/>
        <v>0</v>
      </c>
      <c r="BQ83" s="146">
        <f t="shared" si="152"/>
        <v>0</v>
      </c>
      <c r="BR83" s="146">
        <f t="shared" si="96"/>
        <v>0</v>
      </c>
      <c r="BS83" s="146">
        <f t="shared" si="153"/>
        <v>0</v>
      </c>
      <c r="BT83" s="146">
        <f t="shared" si="97"/>
        <v>0</v>
      </c>
      <c r="BU83" s="146">
        <f t="shared" si="154"/>
        <v>0</v>
      </c>
      <c r="BV83" s="146">
        <f t="shared" si="98"/>
        <v>0</v>
      </c>
      <c r="BW83" s="146">
        <f t="shared" si="155"/>
        <v>0</v>
      </c>
      <c r="BX83" s="146">
        <f t="shared" si="99"/>
        <v>0</v>
      </c>
      <c r="BY83" s="146">
        <f t="shared" si="156"/>
        <v>0</v>
      </c>
      <c r="BZ83" s="146">
        <f t="shared" si="100"/>
        <v>0</v>
      </c>
      <c r="CA83" s="146">
        <v>78</v>
      </c>
      <c r="CB83" s="147">
        <v>628162</v>
      </c>
      <c r="CC83" s="147">
        <f>+CB83-CB84</f>
        <v>28168</v>
      </c>
      <c r="CD83" s="148">
        <f t="shared" si="73"/>
        <v>4.4841935679012741E-2</v>
      </c>
      <c r="CE83" s="146">
        <v>10.4</v>
      </c>
      <c r="CF83" s="147">
        <v>773641</v>
      </c>
      <c r="CG83" s="147">
        <f>+CF83-CF84</f>
        <v>20439</v>
      </c>
      <c r="CH83" s="149">
        <f t="shared" si="75"/>
        <v>2.6419230625057358E-2</v>
      </c>
      <c r="CI83" s="146">
        <v>12.6</v>
      </c>
      <c r="CJ83" s="146">
        <v>78</v>
      </c>
      <c r="CK83" s="146">
        <v>7.41</v>
      </c>
      <c r="CL83" s="146">
        <v>8.73</v>
      </c>
    </row>
    <row r="84" spans="3:90" s="146" customFormat="1" ht="13.5" customHeight="1" x14ac:dyDescent="0.35">
      <c r="D84" s="146">
        <f t="shared" si="131"/>
        <v>1</v>
      </c>
      <c r="E84" s="146">
        <f t="shared" si="135"/>
        <v>1</v>
      </c>
      <c r="H84" s="146">
        <f t="shared" si="132"/>
        <v>50</v>
      </c>
      <c r="K84" s="146">
        <f t="shared" si="133"/>
        <v>50000000</v>
      </c>
      <c r="M84" s="146">
        <f t="shared" ca="1" si="134"/>
        <v>50000000</v>
      </c>
      <c r="W84" s="154"/>
      <c r="Z84" s="146">
        <v>1</v>
      </c>
      <c r="AA84" s="146">
        <f>IF($AA$60=AB84,AC84,0)</f>
        <v>1000000</v>
      </c>
      <c r="AB84" s="146">
        <v>2022</v>
      </c>
      <c r="AC84" s="146">
        <v>1000000</v>
      </c>
      <c r="AD84" s="146">
        <v>2023</v>
      </c>
      <c r="AE84" s="146">
        <v>1160000</v>
      </c>
      <c r="AI84" s="151" t="e">
        <f t="shared" ref="AI84:AI100" ca="1" si="157">+AJ23*$AF$80</f>
        <v>#REF!</v>
      </c>
      <c r="AJ84" s="151"/>
      <c r="AK84" s="146">
        <f t="shared" si="136"/>
        <v>0</v>
      </c>
      <c r="AL84" s="146">
        <f t="shared" si="80"/>
        <v>0</v>
      </c>
      <c r="AM84" s="146">
        <f t="shared" si="137"/>
        <v>0</v>
      </c>
      <c r="AN84" s="146">
        <f t="shared" si="81"/>
        <v>0</v>
      </c>
      <c r="AO84" s="146">
        <f t="shared" si="138"/>
        <v>0</v>
      </c>
      <c r="AP84" s="146">
        <f t="shared" si="82"/>
        <v>0</v>
      </c>
      <c r="AQ84" s="146">
        <f t="shared" si="139"/>
        <v>0</v>
      </c>
      <c r="AR84" s="146">
        <f t="shared" si="83"/>
        <v>0</v>
      </c>
      <c r="AS84" s="146">
        <f t="shared" si="140"/>
        <v>0</v>
      </c>
      <c r="AT84" s="146">
        <f t="shared" si="84"/>
        <v>0</v>
      </c>
      <c r="AU84" s="146">
        <f t="shared" si="141"/>
        <v>0</v>
      </c>
      <c r="AV84" s="146">
        <f t="shared" si="85"/>
        <v>0</v>
      </c>
      <c r="AW84" s="146">
        <f t="shared" si="142"/>
        <v>0</v>
      </c>
      <c r="AX84" s="146">
        <f t="shared" si="86"/>
        <v>0</v>
      </c>
      <c r="AY84" s="146">
        <f t="shared" si="143"/>
        <v>0</v>
      </c>
      <c r="AZ84" s="146">
        <f t="shared" si="87"/>
        <v>0</v>
      </c>
      <c r="BA84" s="146">
        <f t="shared" si="144"/>
        <v>0</v>
      </c>
      <c r="BB84" s="146">
        <f t="shared" si="88"/>
        <v>0</v>
      </c>
      <c r="BC84" s="146">
        <f t="shared" si="145"/>
        <v>0</v>
      </c>
      <c r="BD84" s="146">
        <f t="shared" si="89"/>
        <v>0</v>
      </c>
      <c r="BE84" s="146">
        <f t="shared" si="146"/>
        <v>0</v>
      </c>
      <c r="BF84" s="146">
        <f t="shared" si="90"/>
        <v>0</v>
      </c>
      <c r="BG84" s="146">
        <f t="shared" si="147"/>
        <v>0</v>
      </c>
      <c r="BH84" s="146">
        <f t="shared" si="91"/>
        <v>0</v>
      </c>
      <c r="BI84" s="146">
        <f t="shared" si="148"/>
        <v>0</v>
      </c>
      <c r="BJ84" s="146">
        <f t="shared" si="92"/>
        <v>0</v>
      </c>
      <c r="BK84" s="146">
        <f t="shared" si="149"/>
        <v>0</v>
      </c>
      <c r="BL84" s="146">
        <f t="shared" si="93"/>
        <v>0</v>
      </c>
      <c r="BM84" s="146">
        <f t="shared" si="150"/>
        <v>0</v>
      </c>
      <c r="BN84" s="146">
        <f t="shared" si="94"/>
        <v>0</v>
      </c>
      <c r="BO84" s="146">
        <f t="shared" si="151"/>
        <v>0</v>
      </c>
      <c r="BP84" s="146">
        <f t="shared" si="95"/>
        <v>0</v>
      </c>
      <c r="BQ84" s="146">
        <f t="shared" si="152"/>
        <v>0</v>
      </c>
      <c r="BR84" s="146">
        <f t="shared" si="96"/>
        <v>0</v>
      </c>
      <c r="BS84" s="146">
        <f t="shared" si="153"/>
        <v>0</v>
      </c>
      <c r="BT84" s="146">
        <f t="shared" si="97"/>
        <v>0</v>
      </c>
      <c r="BU84" s="146">
        <f t="shared" si="154"/>
        <v>0</v>
      </c>
      <c r="BV84" s="146">
        <f t="shared" si="98"/>
        <v>0</v>
      </c>
      <c r="BW84" s="146">
        <f t="shared" si="155"/>
        <v>0</v>
      </c>
      <c r="BX84" s="146">
        <f t="shared" si="99"/>
        <v>0</v>
      </c>
      <c r="BY84" s="146">
        <f t="shared" si="156"/>
        <v>0</v>
      </c>
      <c r="BZ84" s="146">
        <f t="shared" si="100"/>
        <v>0</v>
      </c>
      <c r="CA84" s="146">
        <v>79</v>
      </c>
      <c r="CB84" s="147">
        <v>599994</v>
      </c>
      <c r="CC84" s="147">
        <f t="shared" ref="CC84:CC117" si="158">+CB84-CB85</f>
        <v>29456</v>
      </c>
      <c r="CD84" s="148">
        <f t="shared" ref="CD84:CD118" si="159">+CC84/CB84</f>
        <v>4.9093824271576048E-2</v>
      </c>
      <c r="CE84" s="146">
        <v>9.8000000000000007</v>
      </c>
      <c r="CF84" s="147">
        <v>753202</v>
      </c>
      <c r="CG84" s="147">
        <f t="shared" ref="CG84:CG117" si="160">+CF84-CF85</f>
        <v>22154</v>
      </c>
      <c r="CH84" s="149">
        <f t="shared" ref="CH84:CH118" si="161">+CG84/CF84</f>
        <v>2.9413092370970867E-2</v>
      </c>
      <c r="CI84" s="146">
        <v>11.9</v>
      </c>
      <c r="CJ84" s="146">
        <v>79</v>
      </c>
      <c r="CK84" s="146">
        <v>7.03</v>
      </c>
      <c r="CL84" s="146">
        <v>8.24</v>
      </c>
    </row>
    <row r="85" spans="3:90" s="146" customFormat="1" ht="13.5" customHeight="1" x14ac:dyDescent="0.35">
      <c r="D85" s="146">
        <f t="shared" si="131"/>
        <v>1</v>
      </c>
      <c r="E85" s="146">
        <f t="shared" si="135"/>
        <v>1</v>
      </c>
      <c r="H85" s="146">
        <f t="shared" si="132"/>
        <v>50</v>
      </c>
      <c r="K85" s="146">
        <f t="shared" si="133"/>
        <v>50000000</v>
      </c>
      <c r="M85" s="146">
        <f t="shared" ca="1" si="134"/>
        <v>50000000</v>
      </c>
      <c r="W85" s="154"/>
      <c r="AA85" s="146">
        <f>SUM(AA62:AA84)</f>
        <v>1000000</v>
      </c>
      <c r="AB85" s="146">
        <f>IF(AA85=0,"",AA85)</f>
        <v>1000000</v>
      </c>
      <c r="AI85" s="151" t="e">
        <f t="shared" ca="1" si="157"/>
        <v>#REF!</v>
      </c>
      <c r="AK85" s="146">
        <f t="shared" si="136"/>
        <v>0</v>
      </c>
      <c r="AL85" s="146">
        <f t="shared" ref="AL85:AL118" si="162">IF($AB$39=CA85,1,0)</f>
        <v>0</v>
      </c>
      <c r="AM85" s="146">
        <f t="shared" si="137"/>
        <v>0</v>
      </c>
      <c r="AN85" s="146">
        <f t="shared" ref="AN85:AN118" si="163">IF($AB$38=CA85,1,0)</f>
        <v>0</v>
      </c>
      <c r="AO85" s="146">
        <f t="shared" si="138"/>
        <v>0</v>
      </c>
      <c r="AP85" s="146">
        <f t="shared" ref="AP85:AP118" si="164">IF($AB$37=CA85,1,0)</f>
        <v>0</v>
      </c>
      <c r="AQ85" s="146">
        <f t="shared" si="139"/>
        <v>0</v>
      </c>
      <c r="AR85" s="146">
        <f t="shared" ref="AR85:AR118" si="165">IF($AB$36=CA85,1,0)</f>
        <v>0</v>
      </c>
      <c r="AS85" s="146">
        <f t="shared" si="140"/>
        <v>0</v>
      </c>
      <c r="AT85" s="146">
        <f t="shared" ref="AT85:AT118" si="166">IF($AB$35=CA85,1,0)</f>
        <v>0</v>
      </c>
      <c r="AU85" s="146">
        <f t="shared" si="141"/>
        <v>0</v>
      </c>
      <c r="AV85" s="146">
        <f t="shared" ref="AV85:AV118" si="167">IF($AB$34=CA85,1,0)</f>
        <v>0</v>
      </c>
      <c r="AW85" s="146">
        <f t="shared" si="142"/>
        <v>0</v>
      </c>
      <c r="AX85" s="146">
        <f t="shared" ref="AX85:AX118" si="168">IF($AB$33=CA85,1,0)</f>
        <v>0</v>
      </c>
      <c r="AY85" s="146">
        <f t="shared" si="143"/>
        <v>0</v>
      </c>
      <c r="AZ85" s="146">
        <f t="shared" ref="AZ85:AZ118" si="169">IF($AB$32=CA85,1,0)</f>
        <v>0</v>
      </c>
      <c r="BA85" s="146">
        <f t="shared" si="144"/>
        <v>0</v>
      </c>
      <c r="BB85" s="146">
        <f t="shared" ref="BB85:BB118" si="170">IF($AB$31=CA85,1,0)</f>
        <v>0</v>
      </c>
      <c r="BC85" s="146">
        <f t="shared" si="145"/>
        <v>0</v>
      </c>
      <c r="BD85" s="146">
        <f t="shared" ref="BD85:BD118" si="171">IF($AB$30=CA85,1,0)</f>
        <v>0</v>
      </c>
      <c r="BE85" s="146">
        <f t="shared" si="146"/>
        <v>0</v>
      </c>
      <c r="BF85" s="146">
        <f t="shared" ref="BF85:BF118" si="172">IF($AB$29=CA85,1,0)</f>
        <v>0</v>
      </c>
      <c r="BG85" s="146">
        <f t="shared" si="147"/>
        <v>0</v>
      </c>
      <c r="BH85" s="146">
        <f t="shared" ref="BH85:BH118" si="173">IF($AB$28=CA85,1,0)</f>
        <v>0</v>
      </c>
      <c r="BI85" s="146">
        <f t="shared" si="148"/>
        <v>0</v>
      </c>
      <c r="BJ85" s="146">
        <f t="shared" ref="BJ85:BJ118" si="174">IF($AB$27=CA85,1,0)</f>
        <v>0</v>
      </c>
      <c r="BK85" s="146">
        <f t="shared" si="149"/>
        <v>0</v>
      </c>
      <c r="BL85" s="146">
        <f t="shared" ref="BL85:BL118" si="175">IF($AB$26=CA85,1,0)</f>
        <v>0</v>
      </c>
      <c r="BM85" s="146">
        <f t="shared" si="150"/>
        <v>0</v>
      </c>
      <c r="BN85" s="146">
        <f t="shared" ref="BN85:BN118" si="176">IF($AB$25=CA85,1,0)</f>
        <v>0</v>
      </c>
      <c r="BO85" s="146">
        <f t="shared" si="151"/>
        <v>0</v>
      </c>
      <c r="BP85" s="146">
        <f t="shared" ref="BP85:BP118" si="177">IF($AB$24=CA85,1,0)</f>
        <v>0</v>
      </c>
      <c r="BQ85" s="146">
        <f t="shared" si="152"/>
        <v>0</v>
      </c>
      <c r="BR85" s="146">
        <f t="shared" ref="BR85:BR118" si="178">IF($AB$23=CA85,1,0)</f>
        <v>0</v>
      </c>
      <c r="BS85" s="146">
        <f t="shared" si="153"/>
        <v>0</v>
      </c>
      <c r="BT85" s="146">
        <f t="shared" ref="BT85:BT118" si="179">IF($AB$22=CA85,1,0)</f>
        <v>0</v>
      </c>
      <c r="BU85" s="146">
        <f t="shared" si="154"/>
        <v>0</v>
      </c>
      <c r="BV85" s="146">
        <f t="shared" ref="BV85:BV118" si="180">IF($AB$21=CA85,1,0)</f>
        <v>0</v>
      </c>
      <c r="BW85" s="146">
        <f t="shared" si="155"/>
        <v>0</v>
      </c>
      <c r="BX85" s="146">
        <f t="shared" ref="BX85:BX118" si="181">IF($AB$20=CA85,1,0)</f>
        <v>0</v>
      </c>
      <c r="BY85" s="146">
        <f t="shared" si="156"/>
        <v>0</v>
      </c>
      <c r="BZ85" s="146">
        <f t="shared" ref="BZ85:BZ118" si="182">IF($AB$9=CA85,1,0)</f>
        <v>0</v>
      </c>
      <c r="CA85" s="146">
        <v>80</v>
      </c>
      <c r="CB85" s="147">
        <v>570538</v>
      </c>
      <c r="CC85" s="147">
        <f t="shared" si="158"/>
        <v>30646</v>
      </c>
      <c r="CD85" s="148">
        <f t="shared" si="159"/>
        <v>5.3714213601898556E-2</v>
      </c>
      <c r="CE85" s="146">
        <v>9.3000000000000007</v>
      </c>
      <c r="CF85" s="147">
        <v>731048</v>
      </c>
      <c r="CG85" s="147">
        <f t="shared" si="160"/>
        <v>23943</v>
      </c>
      <c r="CH85" s="149">
        <f t="shared" si="161"/>
        <v>3.2751611385298911E-2</v>
      </c>
      <c r="CI85" s="146">
        <v>11.3</v>
      </c>
      <c r="CJ85" s="146">
        <v>80</v>
      </c>
      <c r="CK85" s="146">
        <v>6.66</v>
      </c>
      <c r="CL85" s="146">
        <v>7.77</v>
      </c>
    </row>
    <row r="86" spans="3:90" s="146" customFormat="1" ht="13.5" customHeight="1" x14ac:dyDescent="0.35">
      <c r="D86" s="146">
        <f t="shared" si="131"/>
        <v>1</v>
      </c>
      <c r="E86" s="146">
        <f t="shared" si="135"/>
        <v>1</v>
      </c>
      <c r="H86" s="146">
        <f t="shared" si="132"/>
        <v>50</v>
      </c>
      <c r="K86" s="146">
        <f t="shared" si="133"/>
        <v>50000000</v>
      </c>
      <c r="M86" s="146">
        <f t="shared" ca="1" si="134"/>
        <v>50000000</v>
      </c>
      <c r="W86" s="154"/>
      <c r="AA86" s="146">
        <f>IF(E11="",AA85*0.75,IF(E11&lt;K6,AA85*0.75,E11*0.75))</f>
        <v>870000</v>
      </c>
      <c r="AB86" s="146">
        <f>+IF(AA86=0,"",AA86)</f>
        <v>870000</v>
      </c>
      <c r="AI86" s="151" t="e">
        <f t="shared" ca="1" si="157"/>
        <v>#REF!</v>
      </c>
      <c r="AK86" s="146">
        <f t="shared" si="136"/>
        <v>0</v>
      </c>
      <c r="AL86" s="146">
        <f t="shared" si="162"/>
        <v>0</v>
      </c>
      <c r="AM86" s="146">
        <f t="shared" si="137"/>
        <v>0</v>
      </c>
      <c r="AN86" s="146">
        <f t="shared" si="163"/>
        <v>0</v>
      </c>
      <c r="AO86" s="146">
        <f t="shared" si="138"/>
        <v>0</v>
      </c>
      <c r="AP86" s="146">
        <f t="shared" si="164"/>
        <v>0</v>
      </c>
      <c r="AQ86" s="146">
        <f t="shared" si="139"/>
        <v>0</v>
      </c>
      <c r="AR86" s="146">
        <f t="shared" si="165"/>
        <v>0</v>
      </c>
      <c r="AS86" s="146">
        <f t="shared" si="140"/>
        <v>0</v>
      </c>
      <c r="AT86" s="146">
        <f t="shared" si="166"/>
        <v>0</v>
      </c>
      <c r="AU86" s="146">
        <f t="shared" si="141"/>
        <v>0</v>
      </c>
      <c r="AV86" s="146">
        <f t="shared" si="167"/>
        <v>0</v>
      </c>
      <c r="AW86" s="146">
        <f t="shared" si="142"/>
        <v>0</v>
      </c>
      <c r="AX86" s="146">
        <f t="shared" si="168"/>
        <v>0</v>
      </c>
      <c r="AY86" s="146">
        <f t="shared" si="143"/>
        <v>0</v>
      </c>
      <c r="AZ86" s="146">
        <f t="shared" si="169"/>
        <v>0</v>
      </c>
      <c r="BA86" s="146">
        <f t="shared" si="144"/>
        <v>0</v>
      </c>
      <c r="BB86" s="146">
        <f t="shared" si="170"/>
        <v>0</v>
      </c>
      <c r="BC86" s="146">
        <f t="shared" si="145"/>
        <v>0</v>
      </c>
      <c r="BD86" s="146">
        <f t="shared" si="171"/>
        <v>0</v>
      </c>
      <c r="BE86" s="146">
        <f t="shared" si="146"/>
        <v>0</v>
      </c>
      <c r="BF86" s="146">
        <f t="shared" si="172"/>
        <v>0</v>
      </c>
      <c r="BG86" s="146">
        <f t="shared" si="147"/>
        <v>0</v>
      </c>
      <c r="BH86" s="146">
        <f t="shared" si="173"/>
        <v>0</v>
      </c>
      <c r="BI86" s="146">
        <f t="shared" si="148"/>
        <v>0</v>
      </c>
      <c r="BJ86" s="146">
        <f t="shared" si="174"/>
        <v>0</v>
      </c>
      <c r="BK86" s="146">
        <f t="shared" si="149"/>
        <v>0</v>
      </c>
      <c r="BL86" s="146">
        <f t="shared" si="175"/>
        <v>0</v>
      </c>
      <c r="BM86" s="146">
        <f t="shared" si="150"/>
        <v>0</v>
      </c>
      <c r="BN86" s="146">
        <f t="shared" si="176"/>
        <v>0</v>
      </c>
      <c r="BO86" s="146">
        <f t="shared" si="151"/>
        <v>0</v>
      </c>
      <c r="BP86" s="146">
        <f t="shared" si="177"/>
        <v>0</v>
      </c>
      <c r="BQ86" s="146">
        <f t="shared" si="152"/>
        <v>0</v>
      </c>
      <c r="BR86" s="146">
        <f t="shared" si="178"/>
        <v>0</v>
      </c>
      <c r="BS86" s="146">
        <f t="shared" si="153"/>
        <v>0</v>
      </c>
      <c r="BT86" s="146">
        <f t="shared" si="179"/>
        <v>0</v>
      </c>
      <c r="BU86" s="146">
        <f t="shared" si="154"/>
        <v>0</v>
      </c>
      <c r="BV86" s="146">
        <f t="shared" si="180"/>
        <v>0</v>
      </c>
      <c r="BW86" s="146">
        <f t="shared" si="155"/>
        <v>0</v>
      </c>
      <c r="BX86" s="146">
        <f t="shared" si="181"/>
        <v>0</v>
      </c>
      <c r="BY86" s="146">
        <f t="shared" si="156"/>
        <v>0</v>
      </c>
      <c r="BZ86" s="146">
        <f t="shared" si="182"/>
        <v>0</v>
      </c>
      <c r="CA86" s="146">
        <v>81</v>
      </c>
      <c r="CB86" s="147">
        <v>539892</v>
      </c>
      <c r="CC86" s="147">
        <f t="shared" si="158"/>
        <v>31711</v>
      </c>
      <c r="CD86" s="148">
        <f t="shared" si="159"/>
        <v>5.8735821238321738E-2</v>
      </c>
      <c r="CE86" s="146">
        <v>8.8000000000000007</v>
      </c>
      <c r="CF86" s="147">
        <v>707105</v>
      </c>
      <c r="CG86" s="147">
        <f t="shared" si="160"/>
        <v>25791</v>
      </c>
      <c r="CH86" s="149">
        <f t="shared" si="161"/>
        <v>3.6474073864560426E-2</v>
      </c>
      <c r="CI86" s="146">
        <v>10.6</v>
      </c>
      <c r="CJ86" s="146">
        <v>81</v>
      </c>
      <c r="CK86" s="146">
        <v>6.3</v>
      </c>
      <c r="CL86" s="146">
        <v>7.32</v>
      </c>
    </row>
    <row r="87" spans="3:90" s="146" customFormat="1" ht="13.5" customHeight="1" x14ac:dyDescent="0.35">
      <c r="D87" s="146">
        <f t="shared" si="131"/>
        <v>1</v>
      </c>
      <c r="E87" s="146">
        <f t="shared" si="135"/>
        <v>1</v>
      </c>
      <c r="H87" s="146">
        <f t="shared" si="132"/>
        <v>35</v>
      </c>
      <c r="K87" s="146">
        <f t="shared" si="133"/>
        <v>35000000</v>
      </c>
      <c r="M87" s="146">
        <f t="shared" ca="1" si="134"/>
        <v>35000000</v>
      </c>
      <c r="W87" s="154"/>
      <c r="Z87" s="146">
        <v>1</v>
      </c>
      <c r="AA87" s="146">
        <f>+IF($AA$60=AB87,AC87,0)</f>
        <v>0</v>
      </c>
      <c r="AB87" s="146">
        <v>2023</v>
      </c>
      <c r="AC87" s="146">
        <v>1160000</v>
      </c>
      <c r="AI87" s="151" t="e">
        <f t="shared" ca="1" si="157"/>
        <v>#REF!</v>
      </c>
      <c r="AK87" s="146">
        <f t="shared" si="136"/>
        <v>0</v>
      </c>
      <c r="AL87" s="146">
        <f t="shared" si="162"/>
        <v>0</v>
      </c>
      <c r="AM87" s="146">
        <f t="shared" si="137"/>
        <v>0</v>
      </c>
      <c r="AN87" s="146">
        <f t="shared" si="163"/>
        <v>0</v>
      </c>
      <c r="AO87" s="146">
        <f t="shared" si="138"/>
        <v>0</v>
      </c>
      <c r="AP87" s="146">
        <f t="shared" si="164"/>
        <v>0</v>
      </c>
      <c r="AQ87" s="146">
        <f t="shared" si="139"/>
        <v>0</v>
      </c>
      <c r="AR87" s="146">
        <f t="shared" si="165"/>
        <v>0</v>
      </c>
      <c r="AS87" s="146">
        <f t="shared" si="140"/>
        <v>0</v>
      </c>
      <c r="AT87" s="146">
        <f t="shared" si="166"/>
        <v>0</v>
      </c>
      <c r="AU87" s="146">
        <f t="shared" si="141"/>
        <v>0</v>
      </c>
      <c r="AV87" s="146">
        <f t="shared" si="167"/>
        <v>0</v>
      </c>
      <c r="AW87" s="146">
        <f t="shared" si="142"/>
        <v>0</v>
      </c>
      <c r="AX87" s="146">
        <f t="shared" si="168"/>
        <v>0</v>
      </c>
      <c r="AY87" s="146">
        <f t="shared" si="143"/>
        <v>0</v>
      </c>
      <c r="AZ87" s="146">
        <f t="shared" si="169"/>
        <v>0</v>
      </c>
      <c r="BA87" s="146">
        <f t="shared" si="144"/>
        <v>0</v>
      </c>
      <c r="BB87" s="146">
        <f t="shared" si="170"/>
        <v>0</v>
      </c>
      <c r="BC87" s="146">
        <f t="shared" si="145"/>
        <v>0</v>
      </c>
      <c r="BD87" s="146">
        <f t="shared" si="171"/>
        <v>0</v>
      </c>
      <c r="BE87" s="146">
        <f t="shared" si="146"/>
        <v>0</v>
      </c>
      <c r="BF87" s="146">
        <f t="shared" si="172"/>
        <v>0</v>
      </c>
      <c r="BG87" s="146">
        <f t="shared" si="147"/>
        <v>0</v>
      </c>
      <c r="BH87" s="146">
        <f t="shared" si="173"/>
        <v>0</v>
      </c>
      <c r="BI87" s="146">
        <f t="shared" si="148"/>
        <v>0</v>
      </c>
      <c r="BJ87" s="146">
        <f t="shared" si="174"/>
        <v>0</v>
      </c>
      <c r="BK87" s="146">
        <f t="shared" si="149"/>
        <v>0</v>
      </c>
      <c r="BL87" s="146">
        <f t="shared" si="175"/>
        <v>0</v>
      </c>
      <c r="BM87" s="146">
        <f t="shared" si="150"/>
        <v>0</v>
      </c>
      <c r="BN87" s="146">
        <f t="shared" si="176"/>
        <v>0</v>
      </c>
      <c r="BO87" s="146">
        <f t="shared" si="151"/>
        <v>0</v>
      </c>
      <c r="BP87" s="146">
        <f t="shared" si="177"/>
        <v>0</v>
      </c>
      <c r="BQ87" s="146">
        <f t="shared" si="152"/>
        <v>0</v>
      </c>
      <c r="BR87" s="146">
        <f t="shared" si="178"/>
        <v>0</v>
      </c>
      <c r="BS87" s="146">
        <f t="shared" si="153"/>
        <v>0</v>
      </c>
      <c r="BT87" s="146">
        <f t="shared" si="179"/>
        <v>0</v>
      </c>
      <c r="BU87" s="146">
        <f t="shared" si="154"/>
        <v>0</v>
      </c>
      <c r="BV87" s="146">
        <f t="shared" si="180"/>
        <v>0</v>
      </c>
      <c r="BW87" s="146">
        <f t="shared" si="155"/>
        <v>0</v>
      </c>
      <c r="BX87" s="146">
        <f t="shared" si="181"/>
        <v>0</v>
      </c>
      <c r="BY87" s="146">
        <f t="shared" si="156"/>
        <v>0</v>
      </c>
      <c r="BZ87" s="146">
        <f t="shared" si="182"/>
        <v>0</v>
      </c>
      <c r="CA87" s="146">
        <v>82</v>
      </c>
      <c r="CB87" s="147">
        <v>508181</v>
      </c>
      <c r="CC87" s="147">
        <f t="shared" si="158"/>
        <v>32619</v>
      </c>
      <c r="CD87" s="148">
        <f t="shared" si="159"/>
        <v>6.4187759872958647E-2</v>
      </c>
      <c r="CE87" s="146">
        <v>8.3000000000000007</v>
      </c>
      <c r="CF87" s="147">
        <v>681314</v>
      </c>
      <c r="CG87" s="147">
        <f t="shared" si="160"/>
        <v>27677</v>
      </c>
      <c r="CH87" s="149">
        <f t="shared" si="161"/>
        <v>4.0622972667521878E-2</v>
      </c>
      <c r="CI87" s="146">
        <v>10</v>
      </c>
      <c r="CJ87" s="146">
        <v>82</v>
      </c>
      <c r="CK87" s="146">
        <v>5.96</v>
      </c>
      <c r="CL87" s="146">
        <v>6.88</v>
      </c>
    </row>
    <row r="88" spans="3:90" s="146" customFormat="1" ht="13.5" customHeight="1" x14ac:dyDescent="0.35">
      <c r="D88" s="146">
        <f t="shared" si="131"/>
        <v>1</v>
      </c>
      <c r="E88" s="146">
        <f t="shared" si="135"/>
        <v>1</v>
      </c>
      <c r="H88" s="146">
        <f t="shared" si="132"/>
        <v>35</v>
      </c>
      <c r="K88" s="146">
        <f t="shared" si="133"/>
        <v>35000000</v>
      </c>
      <c r="M88" s="146">
        <f t="shared" ca="1" si="134"/>
        <v>35000000</v>
      </c>
      <c r="W88" s="154"/>
      <c r="AI88" s="151" t="e">
        <f t="shared" ca="1" si="157"/>
        <v>#REF!</v>
      </c>
      <c r="AK88" s="146">
        <f t="shared" si="136"/>
        <v>0</v>
      </c>
      <c r="AL88" s="146">
        <f t="shared" si="162"/>
        <v>0</v>
      </c>
      <c r="AM88" s="146">
        <f t="shared" si="137"/>
        <v>0</v>
      </c>
      <c r="AN88" s="146">
        <f t="shared" si="163"/>
        <v>0</v>
      </c>
      <c r="AO88" s="146">
        <f t="shared" si="138"/>
        <v>0</v>
      </c>
      <c r="AP88" s="146">
        <f t="shared" si="164"/>
        <v>0</v>
      </c>
      <c r="AQ88" s="146">
        <f t="shared" si="139"/>
        <v>0</v>
      </c>
      <c r="AR88" s="146">
        <f t="shared" si="165"/>
        <v>0</v>
      </c>
      <c r="AS88" s="146">
        <f t="shared" si="140"/>
        <v>0</v>
      </c>
      <c r="AT88" s="146">
        <f t="shared" si="166"/>
        <v>0</v>
      </c>
      <c r="AU88" s="146">
        <f t="shared" si="141"/>
        <v>0</v>
      </c>
      <c r="AV88" s="146">
        <f t="shared" si="167"/>
        <v>0</v>
      </c>
      <c r="AW88" s="146">
        <f t="shared" si="142"/>
        <v>0</v>
      </c>
      <c r="AX88" s="146">
        <f t="shared" si="168"/>
        <v>0</v>
      </c>
      <c r="AY88" s="146">
        <f t="shared" si="143"/>
        <v>0</v>
      </c>
      <c r="AZ88" s="146">
        <f t="shared" si="169"/>
        <v>0</v>
      </c>
      <c r="BA88" s="146">
        <f t="shared" si="144"/>
        <v>0</v>
      </c>
      <c r="BB88" s="146">
        <f t="shared" si="170"/>
        <v>0</v>
      </c>
      <c r="BC88" s="146">
        <f t="shared" si="145"/>
        <v>0</v>
      </c>
      <c r="BD88" s="146">
        <f t="shared" si="171"/>
        <v>0</v>
      </c>
      <c r="BE88" s="146">
        <f t="shared" si="146"/>
        <v>0</v>
      </c>
      <c r="BF88" s="146">
        <f t="shared" si="172"/>
        <v>0</v>
      </c>
      <c r="BG88" s="146">
        <f t="shared" si="147"/>
        <v>0</v>
      </c>
      <c r="BH88" s="146">
        <f t="shared" si="173"/>
        <v>0</v>
      </c>
      <c r="BI88" s="146">
        <f t="shared" si="148"/>
        <v>0</v>
      </c>
      <c r="BJ88" s="146">
        <f t="shared" si="174"/>
        <v>0</v>
      </c>
      <c r="BK88" s="146">
        <f t="shared" si="149"/>
        <v>0</v>
      </c>
      <c r="BL88" s="146">
        <f t="shared" si="175"/>
        <v>0</v>
      </c>
      <c r="BM88" s="146">
        <f t="shared" si="150"/>
        <v>0</v>
      </c>
      <c r="BN88" s="146">
        <f t="shared" si="176"/>
        <v>0</v>
      </c>
      <c r="BO88" s="146">
        <f t="shared" si="151"/>
        <v>0</v>
      </c>
      <c r="BP88" s="146">
        <f t="shared" si="177"/>
        <v>0</v>
      </c>
      <c r="BQ88" s="146">
        <f t="shared" si="152"/>
        <v>0</v>
      </c>
      <c r="BR88" s="146">
        <f t="shared" si="178"/>
        <v>0</v>
      </c>
      <c r="BS88" s="146">
        <f t="shared" si="153"/>
        <v>9.4</v>
      </c>
      <c r="BT88" s="146">
        <f t="shared" si="179"/>
        <v>1</v>
      </c>
      <c r="BU88" s="146">
        <f t="shared" si="154"/>
        <v>0</v>
      </c>
      <c r="BV88" s="146">
        <f t="shared" si="180"/>
        <v>0</v>
      </c>
      <c r="BW88" s="146">
        <f t="shared" si="155"/>
        <v>0</v>
      </c>
      <c r="BX88" s="146">
        <f t="shared" si="181"/>
        <v>0</v>
      </c>
      <c r="BY88" s="146">
        <f t="shared" si="156"/>
        <v>0</v>
      </c>
      <c r="BZ88" s="146">
        <f t="shared" si="182"/>
        <v>0</v>
      </c>
      <c r="CA88" s="146">
        <v>83</v>
      </c>
      <c r="CB88" s="147">
        <v>475562</v>
      </c>
      <c r="CC88" s="147">
        <f t="shared" si="158"/>
        <v>33340</v>
      </c>
      <c r="CD88" s="148">
        <f t="shared" si="159"/>
        <v>7.0106526593798499E-2</v>
      </c>
      <c r="CE88" s="146">
        <v>7.8</v>
      </c>
      <c r="CF88" s="147">
        <v>653637</v>
      </c>
      <c r="CG88" s="147">
        <f t="shared" si="160"/>
        <v>29572</v>
      </c>
      <c r="CH88" s="149">
        <f t="shared" si="161"/>
        <v>4.5242236899073952E-2</v>
      </c>
      <c r="CI88" s="146">
        <v>9.4</v>
      </c>
      <c r="CJ88" s="146">
        <v>83</v>
      </c>
      <c r="CK88" s="146">
        <v>5.63</v>
      </c>
      <c r="CL88" s="146">
        <v>6.46</v>
      </c>
    </row>
    <row r="89" spans="3:90" s="146" customFormat="1" ht="13.5" customHeight="1" x14ac:dyDescent="0.35">
      <c r="D89" s="146">
        <f t="shared" si="131"/>
        <v>1</v>
      </c>
      <c r="E89" s="146">
        <f t="shared" si="135"/>
        <v>1</v>
      </c>
      <c r="H89" s="146">
        <f t="shared" si="132"/>
        <v>35</v>
      </c>
      <c r="K89" s="146">
        <f t="shared" si="133"/>
        <v>35000000</v>
      </c>
      <c r="M89" s="146">
        <f t="shared" ca="1" si="134"/>
        <v>35000000</v>
      </c>
      <c r="W89" s="154"/>
      <c r="AI89" s="151" t="e">
        <f t="shared" ca="1" si="157"/>
        <v>#REF!</v>
      </c>
      <c r="AK89" s="146">
        <f t="shared" si="136"/>
        <v>0</v>
      </c>
      <c r="AL89" s="146">
        <f t="shared" si="162"/>
        <v>0</v>
      </c>
      <c r="AM89" s="146">
        <f t="shared" si="137"/>
        <v>0</v>
      </c>
      <c r="AN89" s="146">
        <f t="shared" si="163"/>
        <v>0</v>
      </c>
      <c r="AO89" s="146">
        <f t="shared" si="138"/>
        <v>0</v>
      </c>
      <c r="AP89" s="146">
        <f t="shared" si="164"/>
        <v>0</v>
      </c>
      <c r="AQ89" s="146">
        <f t="shared" si="139"/>
        <v>0</v>
      </c>
      <c r="AR89" s="146">
        <f t="shared" si="165"/>
        <v>0</v>
      </c>
      <c r="AS89" s="146">
        <f t="shared" si="140"/>
        <v>0</v>
      </c>
      <c r="AT89" s="146">
        <f t="shared" si="166"/>
        <v>0</v>
      </c>
      <c r="AU89" s="146">
        <f t="shared" si="141"/>
        <v>0</v>
      </c>
      <c r="AV89" s="146">
        <f t="shared" si="167"/>
        <v>0</v>
      </c>
      <c r="AW89" s="146">
        <f t="shared" si="142"/>
        <v>0</v>
      </c>
      <c r="AX89" s="146">
        <f t="shared" si="168"/>
        <v>0</v>
      </c>
      <c r="AY89" s="146">
        <f t="shared" si="143"/>
        <v>0</v>
      </c>
      <c r="AZ89" s="146">
        <f t="shared" si="169"/>
        <v>0</v>
      </c>
      <c r="BA89" s="146">
        <f t="shared" si="144"/>
        <v>0</v>
      </c>
      <c r="BB89" s="146">
        <f t="shared" si="170"/>
        <v>0</v>
      </c>
      <c r="BC89" s="146">
        <f t="shared" si="145"/>
        <v>0</v>
      </c>
      <c r="BD89" s="146">
        <f t="shared" si="171"/>
        <v>0</v>
      </c>
      <c r="BE89" s="146">
        <f t="shared" si="146"/>
        <v>0</v>
      </c>
      <c r="BF89" s="146">
        <f t="shared" si="172"/>
        <v>0</v>
      </c>
      <c r="BG89" s="146">
        <f t="shared" si="147"/>
        <v>0</v>
      </c>
      <c r="BH89" s="146">
        <f t="shared" si="173"/>
        <v>0</v>
      </c>
      <c r="BI89" s="146">
        <f t="shared" si="148"/>
        <v>0</v>
      </c>
      <c r="BJ89" s="146">
        <f t="shared" si="174"/>
        <v>0</v>
      </c>
      <c r="BK89" s="146">
        <f t="shared" si="149"/>
        <v>0</v>
      </c>
      <c r="BL89" s="146">
        <f t="shared" si="175"/>
        <v>0</v>
      </c>
      <c r="BM89" s="146">
        <f t="shared" si="150"/>
        <v>0</v>
      </c>
      <c r="BN89" s="146">
        <f t="shared" si="176"/>
        <v>0</v>
      </c>
      <c r="BO89" s="146">
        <f t="shared" si="151"/>
        <v>0</v>
      </c>
      <c r="BP89" s="146">
        <f t="shared" si="177"/>
        <v>0</v>
      </c>
      <c r="BQ89" s="146">
        <f t="shared" si="152"/>
        <v>0</v>
      </c>
      <c r="BR89" s="146">
        <f t="shared" si="178"/>
        <v>0</v>
      </c>
      <c r="BS89" s="146">
        <f t="shared" si="153"/>
        <v>0</v>
      </c>
      <c r="BT89" s="146">
        <f t="shared" si="179"/>
        <v>0</v>
      </c>
      <c r="BU89" s="146">
        <f t="shared" si="154"/>
        <v>7.4</v>
      </c>
      <c r="BV89" s="146">
        <f t="shared" si="180"/>
        <v>1</v>
      </c>
      <c r="BW89" s="146">
        <f t="shared" si="155"/>
        <v>0</v>
      </c>
      <c r="BX89" s="146">
        <f t="shared" si="181"/>
        <v>0</v>
      </c>
      <c r="BY89" s="146">
        <f t="shared" si="156"/>
        <v>0</v>
      </c>
      <c r="BZ89" s="146">
        <f t="shared" si="182"/>
        <v>0</v>
      </c>
      <c r="CA89" s="146">
        <v>84</v>
      </c>
      <c r="CB89" s="147">
        <v>442222</v>
      </c>
      <c r="CC89" s="147">
        <f t="shared" si="158"/>
        <v>33841</v>
      </c>
      <c r="CD89" s="148">
        <f t="shared" si="159"/>
        <v>7.6524912826589367E-2</v>
      </c>
      <c r="CE89" s="146">
        <v>7.4</v>
      </c>
      <c r="CF89" s="147">
        <v>624065</v>
      </c>
      <c r="CG89" s="147">
        <f t="shared" si="160"/>
        <v>31445</v>
      </c>
      <c r="CH89" s="149">
        <f t="shared" si="161"/>
        <v>5.0387379519761563E-2</v>
      </c>
      <c r="CI89" s="146">
        <v>8.9</v>
      </c>
      <c r="CJ89" s="146">
        <v>84</v>
      </c>
      <c r="CK89" s="146">
        <v>5.31</v>
      </c>
      <c r="CL89" s="146">
        <v>6.07</v>
      </c>
    </row>
    <row r="90" spans="3:90" s="146" customFormat="1" ht="13.5" customHeight="1" x14ac:dyDescent="0.35">
      <c r="D90" s="146">
        <f t="shared" si="131"/>
        <v>1</v>
      </c>
      <c r="E90" s="146">
        <f t="shared" si="135"/>
        <v>1</v>
      </c>
      <c r="H90" s="146">
        <f t="shared" si="132"/>
        <v>35</v>
      </c>
      <c r="K90" s="146">
        <f t="shared" si="133"/>
        <v>35000000</v>
      </c>
      <c r="M90" s="146">
        <f t="shared" ca="1" si="134"/>
        <v>35000000</v>
      </c>
      <c r="W90" s="154"/>
      <c r="AI90" s="151" t="e">
        <f t="shared" ca="1" si="157"/>
        <v>#REF!</v>
      </c>
      <c r="AK90" s="146">
        <f t="shared" si="136"/>
        <v>0</v>
      </c>
      <c r="AL90" s="146">
        <f t="shared" si="162"/>
        <v>0</v>
      </c>
      <c r="AM90" s="146">
        <f t="shared" si="137"/>
        <v>0</v>
      </c>
      <c r="AN90" s="146">
        <f t="shared" si="163"/>
        <v>0</v>
      </c>
      <c r="AO90" s="146">
        <f t="shared" si="138"/>
        <v>0</v>
      </c>
      <c r="AP90" s="146">
        <f t="shared" si="164"/>
        <v>0</v>
      </c>
      <c r="AQ90" s="146">
        <f t="shared" si="139"/>
        <v>0</v>
      </c>
      <c r="AR90" s="146">
        <f t="shared" si="165"/>
        <v>0</v>
      </c>
      <c r="AS90" s="146">
        <f t="shared" si="140"/>
        <v>0</v>
      </c>
      <c r="AT90" s="146">
        <f t="shared" si="166"/>
        <v>0</v>
      </c>
      <c r="AU90" s="146">
        <f t="shared" si="141"/>
        <v>0</v>
      </c>
      <c r="AV90" s="146">
        <f t="shared" si="167"/>
        <v>0</v>
      </c>
      <c r="AW90" s="146">
        <f t="shared" si="142"/>
        <v>0</v>
      </c>
      <c r="AX90" s="146">
        <f t="shared" si="168"/>
        <v>0</v>
      </c>
      <c r="AY90" s="146">
        <f t="shared" si="143"/>
        <v>0</v>
      </c>
      <c r="AZ90" s="146">
        <f t="shared" si="169"/>
        <v>0</v>
      </c>
      <c r="BA90" s="146">
        <f t="shared" si="144"/>
        <v>0</v>
      </c>
      <c r="BB90" s="146">
        <f t="shared" si="170"/>
        <v>0</v>
      </c>
      <c r="BC90" s="146">
        <f t="shared" si="145"/>
        <v>0</v>
      </c>
      <c r="BD90" s="146">
        <f t="shared" si="171"/>
        <v>0</v>
      </c>
      <c r="BE90" s="146">
        <f t="shared" si="146"/>
        <v>0</v>
      </c>
      <c r="BF90" s="146">
        <f t="shared" si="172"/>
        <v>0</v>
      </c>
      <c r="BG90" s="146">
        <f t="shared" si="147"/>
        <v>0</v>
      </c>
      <c r="BH90" s="146">
        <f t="shared" si="173"/>
        <v>0</v>
      </c>
      <c r="BI90" s="146">
        <f t="shared" si="148"/>
        <v>0</v>
      </c>
      <c r="BJ90" s="146">
        <f t="shared" si="174"/>
        <v>0</v>
      </c>
      <c r="BK90" s="146">
        <f t="shared" si="149"/>
        <v>0</v>
      </c>
      <c r="BL90" s="146">
        <f t="shared" si="175"/>
        <v>0</v>
      </c>
      <c r="BM90" s="146">
        <f t="shared" si="150"/>
        <v>0</v>
      </c>
      <c r="BN90" s="146">
        <f t="shared" si="176"/>
        <v>0</v>
      </c>
      <c r="BO90" s="146">
        <f t="shared" si="151"/>
        <v>0</v>
      </c>
      <c r="BP90" s="146">
        <f t="shared" si="177"/>
        <v>0</v>
      </c>
      <c r="BQ90" s="146">
        <f t="shared" si="152"/>
        <v>0</v>
      </c>
      <c r="BR90" s="146">
        <f t="shared" si="178"/>
        <v>0</v>
      </c>
      <c r="BS90" s="146">
        <f t="shared" si="153"/>
        <v>0</v>
      </c>
      <c r="BT90" s="146">
        <f t="shared" si="179"/>
        <v>0</v>
      </c>
      <c r="BU90" s="146">
        <f t="shared" si="154"/>
        <v>0</v>
      </c>
      <c r="BV90" s="146">
        <f t="shared" si="180"/>
        <v>0</v>
      </c>
      <c r="BW90" s="146">
        <f t="shared" si="155"/>
        <v>0</v>
      </c>
      <c r="BX90" s="146">
        <f t="shared" si="181"/>
        <v>0</v>
      </c>
      <c r="BY90" s="146">
        <f t="shared" si="156"/>
        <v>0</v>
      </c>
      <c r="BZ90" s="146">
        <f t="shared" si="182"/>
        <v>0</v>
      </c>
      <c r="CA90" s="146">
        <v>85</v>
      </c>
      <c r="CB90" s="147">
        <v>408381</v>
      </c>
      <c r="CC90" s="147">
        <f t="shared" si="158"/>
        <v>34093</v>
      </c>
      <c r="CD90" s="148">
        <f t="shared" si="159"/>
        <v>8.3483315825173057E-2</v>
      </c>
      <c r="CE90" s="146">
        <v>7</v>
      </c>
      <c r="CF90" s="147">
        <v>592620</v>
      </c>
      <c r="CG90" s="147">
        <f t="shared" si="160"/>
        <v>33252</v>
      </c>
      <c r="CH90" s="149">
        <f t="shared" si="161"/>
        <v>5.6110154905335628E-2</v>
      </c>
      <c r="CI90" s="146">
        <v>8.3000000000000007</v>
      </c>
      <c r="CJ90" s="146">
        <v>85</v>
      </c>
      <c r="CK90" s="146">
        <v>5</v>
      </c>
      <c r="CL90" s="146">
        <v>5.68</v>
      </c>
    </row>
    <row r="91" spans="3:90" s="146" customFormat="1" ht="13.5" customHeight="1" x14ac:dyDescent="0.35">
      <c r="D91" s="146">
        <f t="shared" si="131"/>
        <v>1</v>
      </c>
      <c r="E91" s="146">
        <f t="shared" si="135"/>
        <v>1</v>
      </c>
      <c r="H91" s="146">
        <f t="shared" si="132"/>
        <v>35</v>
      </c>
      <c r="K91" s="146">
        <f t="shared" si="133"/>
        <v>35000000</v>
      </c>
      <c r="M91" s="146">
        <f t="shared" ca="1" si="134"/>
        <v>35000000</v>
      </c>
      <c r="W91" s="154"/>
      <c r="Z91" s="146">
        <f t="shared" ref="Z91:Z113" si="183">IF(I18=$W$108,1,IF(I18=$W$109,0,""))</f>
        <v>1</v>
      </c>
      <c r="AA91" s="146">
        <f ca="1">IF(ISERR(AI20)=TRUE,"",IF(AI20&lt;0,"",IF(AI20=0,Z91,AI20)))</f>
        <v>12170474.8926144</v>
      </c>
      <c r="AI91" s="151" t="e">
        <f t="shared" ca="1" si="157"/>
        <v>#REF!</v>
      </c>
      <c r="AK91" s="146">
        <f t="shared" si="136"/>
        <v>0</v>
      </c>
      <c r="AL91" s="146">
        <f t="shared" si="162"/>
        <v>0</v>
      </c>
      <c r="AM91" s="146">
        <f t="shared" si="137"/>
        <v>0</v>
      </c>
      <c r="AN91" s="146">
        <f t="shared" si="163"/>
        <v>0</v>
      </c>
      <c r="AO91" s="146">
        <f t="shared" si="138"/>
        <v>0</v>
      </c>
      <c r="AP91" s="146">
        <f t="shared" si="164"/>
        <v>0</v>
      </c>
      <c r="AQ91" s="146">
        <f t="shared" si="139"/>
        <v>0</v>
      </c>
      <c r="AR91" s="146">
        <f t="shared" si="165"/>
        <v>0</v>
      </c>
      <c r="AS91" s="146">
        <f t="shared" si="140"/>
        <v>0</v>
      </c>
      <c r="AT91" s="146">
        <f t="shared" si="166"/>
        <v>0</v>
      </c>
      <c r="AU91" s="146">
        <f t="shared" si="141"/>
        <v>0</v>
      </c>
      <c r="AV91" s="146">
        <f t="shared" si="167"/>
        <v>0</v>
      </c>
      <c r="AW91" s="146">
        <f t="shared" si="142"/>
        <v>0</v>
      </c>
      <c r="AX91" s="146">
        <f t="shared" si="168"/>
        <v>0</v>
      </c>
      <c r="AY91" s="146">
        <f t="shared" si="143"/>
        <v>0</v>
      </c>
      <c r="AZ91" s="146">
        <f t="shared" si="169"/>
        <v>0</v>
      </c>
      <c r="BA91" s="146">
        <f t="shared" si="144"/>
        <v>0</v>
      </c>
      <c r="BB91" s="146">
        <f t="shared" si="170"/>
        <v>0</v>
      </c>
      <c r="BC91" s="146">
        <f t="shared" si="145"/>
        <v>0</v>
      </c>
      <c r="BD91" s="146">
        <f t="shared" si="171"/>
        <v>0</v>
      </c>
      <c r="BE91" s="146">
        <f t="shared" si="146"/>
        <v>0</v>
      </c>
      <c r="BF91" s="146">
        <f t="shared" si="172"/>
        <v>0</v>
      </c>
      <c r="BG91" s="146">
        <f t="shared" si="147"/>
        <v>0</v>
      </c>
      <c r="BH91" s="146">
        <f t="shared" si="173"/>
        <v>0</v>
      </c>
      <c r="BI91" s="146">
        <f t="shared" si="148"/>
        <v>0</v>
      </c>
      <c r="BJ91" s="146">
        <f t="shared" si="174"/>
        <v>0</v>
      </c>
      <c r="BK91" s="146">
        <f t="shared" si="149"/>
        <v>0</v>
      </c>
      <c r="BL91" s="146">
        <f t="shared" si="175"/>
        <v>0</v>
      </c>
      <c r="BM91" s="146">
        <f t="shared" si="150"/>
        <v>0</v>
      </c>
      <c r="BN91" s="146">
        <f t="shared" si="176"/>
        <v>0</v>
      </c>
      <c r="BO91" s="146">
        <f t="shared" si="151"/>
        <v>0</v>
      </c>
      <c r="BP91" s="146">
        <f t="shared" si="177"/>
        <v>0</v>
      </c>
      <c r="BQ91" s="146">
        <f t="shared" si="152"/>
        <v>0</v>
      </c>
      <c r="BR91" s="146">
        <f t="shared" si="178"/>
        <v>0</v>
      </c>
      <c r="BS91" s="146">
        <f t="shared" si="153"/>
        <v>0</v>
      </c>
      <c r="BT91" s="146">
        <f t="shared" si="179"/>
        <v>0</v>
      </c>
      <c r="BU91" s="146">
        <f t="shared" si="154"/>
        <v>0</v>
      </c>
      <c r="BV91" s="146">
        <f t="shared" si="180"/>
        <v>0</v>
      </c>
      <c r="BW91" s="146">
        <f t="shared" si="155"/>
        <v>0</v>
      </c>
      <c r="BX91" s="146">
        <f t="shared" si="181"/>
        <v>0</v>
      </c>
      <c r="BY91" s="146">
        <f t="shared" si="156"/>
        <v>0</v>
      </c>
      <c r="BZ91" s="146">
        <f t="shared" si="182"/>
        <v>0</v>
      </c>
      <c r="CA91" s="146">
        <v>86</v>
      </c>
      <c r="CB91" s="147">
        <v>374288</v>
      </c>
      <c r="CC91" s="147">
        <f t="shared" si="158"/>
        <v>34069</v>
      </c>
      <c r="CD91" s="148">
        <f t="shared" si="159"/>
        <v>9.1023489932885907E-2</v>
      </c>
      <c r="CE91" s="146">
        <v>6.6</v>
      </c>
      <c r="CF91" s="147">
        <v>559368</v>
      </c>
      <c r="CG91" s="147">
        <f t="shared" si="160"/>
        <v>34945</v>
      </c>
      <c r="CH91" s="149">
        <f t="shared" si="161"/>
        <v>6.2472290156033235E-2</v>
      </c>
      <c r="CI91" s="146">
        <v>7.8</v>
      </c>
      <c r="CJ91" s="146">
        <v>86</v>
      </c>
      <c r="CK91" s="146">
        <v>4.71</v>
      </c>
      <c r="CL91" s="146">
        <v>5.32</v>
      </c>
    </row>
    <row r="92" spans="3:90" s="146" customFormat="1" ht="13.5" customHeight="1" x14ac:dyDescent="0.35">
      <c r="D92" s="146">
        <f t="shared" si="131"/>
        <v>1</v>
      </c>
      <c r="E92" s="146">
        <f t="shared" si="135"/>
        <v>1</v>
      </c>
      <c r="H92" s="146">
        <f t="shared" si="132"/>
        <v>35</v>
      </c>
      <c r="K92" s="146">
        <f t="shared" si="133"/>
        <v>35000000</v>
      </c>
      <c r="M92" s="146">
        <f t="shared" ca="1" si="134"/>
        <v>35000000</v>
      </c>
      <c r="W92" s="154"/>
      <c r="Z92" s="146">
        <f t="shared" si="183"/>
        <v>0</v>
      </c>
      <c r="AA92" s="146">
        <f t="shared" ref="AA92:AA113" ca="1" si="184">IF(ISERR(AI21)=TRUE,"",IF(AI21&lt;0,"",IF(AI21=0,Z92,AI21)))</f>
        <v>0</v>
      </c>
      <c r="AI92" s="151" t="e">
        <f t="shared" ca="1" si="157"/>
        <v>#REF!</v>
      </c>
      <c r="AK92" s="146">
        <f t="shared" si="136"/>
        <v>0</v>
      </c>
      <c r="AL92" s="146">
        <f t="shared" si="162"/>
        <v>0</v>
      </c>
      <c r="AM92" s="146">
        <f t="shared" si="137"/>
        <v>0</v>
      </c>
      <c r="AN92" s="146">
        <f t="shared" si="163"/>
        <v>0</v>
      </c>
      <c r="AO92" s="146">
        <f t="shared" si="138"/>
        <v>0</v>
      </c>
      <c r="AP92" s="146">
        <f t="shared" si="164"/>
        <v>0</v>
      </c>
      <c r="AQ92" s="146">
        <f t="shared" si="139"/>
        <v>0</v>
      </c>
      <c r="AR92" s="146">
        <f t="shared" si="165"/>
        <v>0</v>
      </c>
      <c r="AS92" s="146">
        <f t="shared" si="140"/>
        <v>0</v>
      </c>
      <c r="AT92" s="146">
        <f t="shared" si="166"/>
        <v>0</v>
      </c>
      <c r="AU92" s="146">
        <f t="shared" si="141"/>
        <v>0</v>
      </c>
      <c r="AV92" s="146">
        <f t="shared" si="167"/>
        <v>0</v>
      </c>
      <c r="AW92" s="146">
        <f t="shared" si="142"/>
        <v>0</v>
      </c>
      <c r="AX92" s="146">
        <f t="shared" si="168"/>
        <v>0</v>
      </c>
      <c r="AY92" s="146">
        <f t="shared" si="143"/>
        <v>0</v>
      </c>
      <c r="AZ92" s="146">
        <f t="shared" si="169"/>
        <v>0</v>
      </c>
      <c r="BA92" s="146">
        <f t="shared" si="144"/>
        <v>0</v>
      </c>
      <c r="BB92" s="146">
        <f t="shared" si="170"/>
        <v>0</v>
      </c>
      <c r="BC92" s="146">
        <f t="shared" si="145"/>
        <v>0</v>
      </c>
      <c r="BD92" s="146">
        <f t="shared" si="171"/>
        <v>0</v>
      </c>
      <c r="BE92" s="146">
        <f t="shared" si="146"/>
        <v>0</v>
      </c>
      <c r="BF92" s="146">
        <f t="shared" si="172"/>
        <v>0</v>
      </c>
      <c r="BG92" s="146">
        <f t="shared" si="147"/>
        <v>0</v>
      </c>
      <c r="BH92" s="146">
        <f t="shared" si="173"/>
        <v>0</v>
      </c>
      <c r="BI92" s="146">
        <f t="shared" si="148"/>
        <v>0</v>
      </c>
      <c r="BJ92" s="146">
        <f t="shared" si="174"/>
        <v>0</v>
      </c>
      <c r="BK92" s="146">
        <f t="shared" si="149"/>
        <v>0</v>
      </c>
      <c r="BL92" s="146">
        <f t="shared" si="175"/>
        <v>0</v>
      </c>
      <c r="BM92" s="146">
        <f t="shared" si="150"/>
        <v>0</v>
      </c>
      <c r="BN92" s="146">
        <f t="shared" si="176"/>
        <v>0</v>
      </c>
      <c r="BO92" s="146">
        <f t="shared" si="151"/>
        <v>0</v>
      </c>
      <c r="BP92" s="146">
        <f t="shared" si="177"/>
        <v>0</v>
      </c>
      <c r="BQ92" s="146">
        <f t="shared" si="152"/>
        <v>0</v>
      </c>
      <c r="BR92" s="146">
        <f t="shared" si="178"/>
        <v>0</v>
      </c>
      <c r="BS92" s="146">
        <f t="shared" si="153"/>
        <v>0</v>
      </c>
      <c r="BT92" s="146">
        <f t="shared" si="179"/>
        <v>0</v>
      </c>
      <c r="BU92" s="146">
        <f t="shared" si="154"/>
        <v>0</v>
      </c>
      <c r="BV92" s="146">
        <f t="shared" si="180"/>
        <v>0</v>
      </c>
      <c r="BW92" s="146">
        <f t="shared" si="155"/>
        <v>0</v>
      </c>
      <c r="BX92" s="146">
        <f t="shared" si="181"/>
        <v>0</v>
      </c>
      <c r="BY92" s="146">
        <f t="shared" si="156"/>
        <v>0</v>
      </c>
      <c r="BZ92" s="146">
        <f t="shared" si="182"/>
        <v>0</v>
      </c>
      <c r="CA92" s="146">
        <v>87</v>
      </c>
      <c r="CB92" s="147">
        <v>340219</v>
      </c>
      <c r="CC92" s="147">
        <f t="shared" si="158"/>
        <v>33745</v>
      </c>
      <c r="CD92" s="148">
        <f t="shared" si="159"/>
        <v>9.918611247461194E-2</v>
      </c>
      <c r="CE92" s="146">
        <v>6.2</v>
      </c>
      <c r="CF92" s="147">
        <v>524423</v>
      </c>
      <c r="CG92" s="147">
        <f t="shared" si="160"/>
        <v>36469</v>
      </c>
      <c r="CH92" s="149">
        <f t="shared" si="161"/>
        <v>6.9541190985139861E-2</v>
      </c>
      <c r="CI92" s="146">
        <v>7.3</v>
      </c>
      <c r="CJ92" s="146">
        <v>87</v>
      </c>
      <c r="CK92" s="146">
        <v>4.4400000000000004</v>
      </c>
      <c r="CL92" s="146">
        <v>4.97</v>
      </c>
    </row>
    <row r="93" spans="3:90" s="146" customFormat="1" ht="13.5" customHeight="1" x14ac:dyDescent="0.35">
      <c r="D93" s="146">
        <f t="shared" si="131"/>
        <v>0</v>
      </c>
      <c r="E93" s="146">
        <f t="shared" si="135"/>
        <v>0</v>
      </c>
      <c r="H93" s="146">
        <f t="shared" si="132"/>
        <v>0</v>
      </c>
      <c r="K93" s="146">
        <f t="shared" si="133"/>
        <v>0</v>
      </c>
      <c r="M93" s="146">
        <f t="shared" ca="1" si="134"/>
        <v>0</v>
      </c>
      <c r="W93" s="154"/>
      <c r="Z93" s="146">
        <f t="shared" si="183"/>
        <v>0</v>
      </c>
      <c r="AA93" s="146">
        <f t="shared" ca="1" si="184"/>
        <v>0</v>
      </c>
      <c r="AI93" s="151" t="e">
        <f t="shared" ca="1" si="157"/>
        <v>#REF!</v>
      </c>
      <c r="AK93" s="146">
        <f t="shared" si="136"/>
        <v>0</v>
      </c>
      <c r="AL93" s="146">
        <f t="shared" si="162"/>
        <v>0</v>
      </c>
      <c r="AM93" s="146">
        <f t="shared" si="137"/>
        <v>0</v>
      </c>
      <c r="AN93" s="146">
        <f t="shared" si="163"/>
        <v>0</v>
      </c>
      <c r="AO93" s="146">
        <f t="shared" si="138"/>
        <v>0</v>
      </c>
      <c r="AP93" s="146">
        <f t="shared" si="164"/>
        <v>0</v>
      </c>
      <c r="AQ93" s="146">
        <f t="shared" si="139"/>
        <v>0</v>
      </c>
      <c r="AR93" s="146">
        <f t="shared" si="165"/>
        <v>0</v>
      </c>
      <c r="AS93" s="146">
        <f t="shared" si="140"/>
        <v>0</v>
      </c>
      <c r="AT93" s="146">
        <f t="shared" si="166"/>
        <v>0</v>
      </c>
      <c r="AU93" s="146">
        <f t="shared" si="141"/>
        <v>0</v>
      </c>
      <c r="AV93" s="146">
        <f t="shared" si="167"/>
        <v>0</v>
      </c>
      <c r="AW93" s="146">
        <f t="shared" si="142"/>
        <v>0</v>
      </c>
      <c r="AX93" s="146">
        <f t="shared" si="168"/>
        <v>0</v>
      </c>
      <c r="AY93" s="146">
        <f t="shared" si="143"/>
        <v>0</v>
      </c>
      <c r="AZ93" s="146">
        <f t="shared" si="169"/>
        <v>0</v>
      </c>
      <c r="BA93" s="146">
        <f t="shared" si="144"/>
        <v>0</v>
      </c>
      <c r="BB93" s="146">
        <f t="shared" si="170"/>
        <v>0</v>
      </c>
      <c r="BC93" s="146">
        <f t="shared" si="145"/>
        <v>0</v>
      </c>
      <c r="BD93" s="146">
        <f t="shared" si="171"/>
        <v>0</v>
      </c>
      <c r="BE93" s="146">
        <f t="shared" si="146"/>
        <v>0</v>
      </c>
      <c r="BF93" s="146">
        <f t="shared" si="172"/>
        <v>0</v>
      </c>
      <c r="BG93" s="146">
        <f t="shared" si="147"/>
        <v>0</v>
      </c>
      <c r="BH93" s="146">
        <f t="shared" si="173"/>
        <v>0</v>
      </c>
      <c r="BI93" s="146">
        <f t="shared" si="148"/>
        <v>0</v>
      </c>
      <c r="BJ93" s="146">
        <f t="shared" si="174"/>
        <v>0</v>
      </c>
      <c r="BK93" s="146">
        <f t="shared" si="149"/>
        <v>0</v>
      </c>
      <c r="BL93" s="146">
        <f t="shared" si="175"/>
        <v>0</v>
      </c>
      <c r="BM93" s="146">
        <f t="shared" si="150"/>
        <v>0</v>
      </c>
      <c r="BN93" s="146">
        <f t="shared" si="176"/>
        <v>0</v>
      </c>
      <c r="BO93" s="146">
        <f t="shared" si="151"/>
        <v>0</v>
      </c>
      <c r="BP93" s="146">
        <f t="shared" si="177"/>
        <v>0</v>
      </c>
      <c r="BQ93" s="146">
        <f t="shared" si="152"/>
        <v>0</v>
      </c>
      <c r="BR93" s="146">
        <f t="shared" si="178"/>
        <v>0</v>
      </c>
      <c r="BS93" s="146">
        <f t="shared" si="153"/>
        <v>0</v>
      </c>
      <c r="BT93" s="146">
        <f t="shared" si="179"/>
        <v>0</v>
      </c>
      <c r="BU93" s="146">
        <f t="shared" si="154"/>
        <v>0</v>
      </c>
      <c r="BV93" s="146">
        <f t="shared" si="180"/>
        <v>0</v>
      </c>
      <c r="BW93" s="146">
        <f t="shared" si="155"/>
        <v>0</v>
      </c>
      <c r="BX93" s="146">
        <f t="shared" si="181"/>
        <v>0</v>
      </c>
      <c r="BY93" s="146">
        <f t="shared" si="156"/>
        <v>0</v>
      </c>
      <c r="BZ93" s="146">
        <f t="shared" si="182"/>
        <v>0</v>
      </c>
      <c r="CA93" s="146">
        <v>88</v>
      </c>
      <c r="CB93" s="147">
        <v>306474</v>
      </c>
      <c r="CC93" s="147">
        <f t="shared" si="158"/>
        <v>33103</v>
      </c>
      <c r="CD93" s="148">
        <f t="shared" si="159"/>
        <v>0.10801242519756978</v>
      </c>
      <c r="CE93" s="146">
        <v>5.8</v>
      </c>
      <c r="CF93" s="147">
        <v>487954</v>
      </c>
      <c r="CG93" s="147">
        <f t="shared" si="160"/>
        <v>37762</v>
      </c>
      <c r="CH93" s="149">
        <f t="shared" si="161"/>
        <v>7.7388442353172632E-2</v>
      </c>
      <c r="CI93" s="146">
        <v>6.8</v>
      </c>
      <c r="CJ93" s="146">
        <v>88</v>
      </c>
      <c r="CK93" s="146">
        <v>4.17</v>
      </c>
      <c r="CL93" s="146">
        <v>4.6399999999999997</v>
      </c>
    </row>
    <row r="94" spans="3:90" s="146" customFormat="1" ht="13.5" customHeight="1" x14ac:dyDescent="0.35">
      <c r="D94" s="146">
        <f t="shared" si="131"/>
        <v>0</v>
      </c>
      <c r="E94" s="146">
        <f t="shared" si="135"/>
        <v>0</v>
      </c>
      <c r="H94" s="146">
        <f t="shared" si="132"/>
        <v>0</v>
      </c>
      <c r="K94" s="146">
        <f t="shared" si="133"/>
        <v>0</v>
      </c>
      <c r="M94" s="146">
        <f t="shared" ca="1" si="134"/>
        <v>0</v>
      </c>
      <c r="W94" s="154"/>
      <c r="Z94" s="146">
        <f t="shared" si="183"/>
        <v>0</v>
      </c>
      <c r="AA94" s="146">
        <f t="shared" ca="1" si="184"/>
        <v>0</v>
      </c>
      <c r="AI94" s="151" t="e">
        <f t="shared" ca="1" si="157"/>
        <v>#REF!</v>
      </c>
      <c r="AK94" s="146">
        <f t="shared" si="136"/>
        <v>0</v>
      </c>
      <c r="AL94" s="146">
        <f t="shared" si="162"/>
        <v>0</v>
      </c>
      <c r="AM94" s="146">
        <f t="shared" si="137"/>
        <v>0</v>
      </c>
      <c r="AN94" s="146">
        <f t="shared" si="163"/>
        <v>0</v>
      </c>
      <c r="AO94" s="146">
        <f t="shared" si="138"/>
        <v>0</v>
      </c>
      <c r="AP94" s="146">
        <f t="shared" si="164"/>
        <v>0</v>
      </c>
      <c r="AQ94" s="146">
        <f t="shared" si="139"/>
        <v>0</v>
      </c>
      <c r="AR94" s="146">
        <f t="shared" si="165"/>
        <v>0</v>
      </c>
      <c r="AS94" s="146">
        <f t="shared" si="140"/>
        <v>0</v>
      </c>
      <c r="AT94" s="146">
        <f t="shared" si="166"/>
        <v>0</v>
      </c>
      <c r="AU94" s="146">
        <f t="shared" si="141"/>
        <v>0</v>
      </c>
      <c r="AV94" s="146">
        <f t="shared" si="167"/>
        <v>0</v>
      </c>
      <c r="AW94" s="146">
        <f t="shared" si="142"/>
        <v>0</v>
      </c>
      <c r="AX94" s="146">
        <f t="shared" si="168"/>
        <v>0</v>
      </c>
      <c r="AY94" s="146">
        <f t="shared" si="143"/>
        <v>0</v>
      </c>
      <c r="AZ94" s="146">
        <f t="shared" si="169"/>
        <v>0</v>
      </c>
      <c r="BA94" s="146">
        <f t="shared" si="144"/>
        <v>0</v>
      </c>
      <c r="BB94" s="146">
        <f t="shared" si="170"/>
        <v>0</v>
      </c>
      <c r="BC94" s="146">
        <f t="shared" si="145"/>
        <v>0</v>
      </c>
      <c r="BD94" s="146">
        <f t="shared" si="171"/>
        <v>0</v>
      </c>
      <c r="BE94" s="146">
        <f t="shared" si="146"/>
        <v>0</v>
      </c>
      <c r="BF94" s="146">
        <f t="shared" si="172"/>
        <v>0</v>
      </c>
      <c r="BG94" s="146">
        <f t="shared" si="147"/>
        <v>0</v>
      </c>
      <c r="BH94" s="146">
        <f t="shared" si="173"/>
        <v>0</v>
      </c>
      <c r="BI94" s="146">
        <f t="shared" si="148"/>
        <v>0</v>
      </c>
      <c r="BJ94" s="146">
        <f t="shared" si="174"/>
        <v>0</v>
      </c>
      <c r="BK94" s="146">
        <f t="shared" si="149"/>
        <v>0</v>
      </c>
      <c r="BL94" s="146">
        <f t="shared" si="175"/>
        <v>0</v>
      </c>
      <c r="BM94" s="146">
        <f t="shared" si="150"/>
        <v>0</v>
      </c>
      <c r="BN94" s="146">
        <f t="shared" si="176"/>
        <v>0</v>
      </c>
      <c r="BO94" s="146">
        <f t="shared" si="151"/>
        <v>0</v>
      </c>
      <c r="BP94" s="146">
        <f t="shared" si="177"/>
        <v>0</v>
      </c>
      <c r="BQ94" s="146">
        <f t="shared" si="152"/>
        <v>0</v>
      </c>
      <c r="BR94" s="146">
        <f t="shared" si="178"/>
        <v>0</v>
      </c>
      <c r="BS94" s="146">
        <f t="shared" si="153"/>
        <v>0</v>
      </c>
      <c r="BT94" s="146">
        <f t="shared" si="179"/>
        <v>0</v>
      </c>
      <c r="BU94" s="146">
        <f t="shared" si="154"/>
        <v>0</v>
      </c>
      <c r="BV94" s="146">
        <f t="shared" si="180"/>
        <v>0</v>
      </c>
      <c r="BW94" s="146">
        <f t="shared" si="155"/>
        <v>0</v>
      </c>
      <c r="BX94" s="146">
        <f t="shared" si="181"/>
        <v>0</v>
      </c>
      <c r="BY94" s="146">
        <f t="shared" si="156"/>
        <v>0</v>
      </c>
      <c r="BZ94" s="146">
        <f t="shared" si="182"/>
        <v>0</v>
      </c>
      <c r="CA94" s="146">
        <v>89</v>
      </c>
      <c r="CB94" s="147">
        <v>273371</v>
      </c>
      <c r="CC94" s="147">
        <f t="shared" si="158"/>
        <v>32136</v>
      </c>
      <c r="CD94" s="148">
        <f t="shared" si="159"/>
        <v>0.11755453211935428</v>
      </c>
      <c r="CE94" s="146">
        <v>5.4</v>
      </c>
      <c r="CF94" s="147">
        <v>450192</v>
      </c>
      <c r="CG94" s="147">
        <f t="shared" si="160"/>
        <v>38757</v>
      </c>
      <c r="CH94" s="149">
        <f t="shared" si="161"/>
        <v>8.6089934961083275E-2</v>
      </c>
      <c r="CI94" s="146">
        <v>6.3</v>
      </c>
      <c r="CJ94" s="146">
        <v>89</v>
      </c>
      <c r="CK94" s="146">
        <v>3.92</v>
      </c>
      <c r="CL94" s="146">
        <v>4.33</v>
      </c>
    </row>
    <row r="95" spans="3:90" s="146" customFormat="1" ht="13.5" customHeight="1" x14ac:dyDescent="0.35">
      <c r="D95" s="146">
        <f t="shared" si="131"/>
        <v>0</v>
      </c>
      <c r="E95" s="146">
        <f t="shared" si="135"/>
        <v>0</v>
      </c>
      <c r="H95" s="146">
        <f t="shared" si="132"/>
        <v>0</v>
      </c>
      <c r="K95" s="146">
        <f t="shared" si="133"/>
        <v>0</v>
      </c>
      <c r="M95" s="146">
        <f t="shared" ca="1" si="134"/>
        <v>0</v>
      </c>
      <c r="W95" s="154"/>
      <c r="Z95" s="146">
        <f t="shared" si="183"/>
        <v>0</v>
      </c>
      <c r="AA95" s="146">
        <f t="shared" ca="1" si="184"/>
        <v>0</v>
      </c>
      <c r="AB95" s="146">
        <f t="shared" ref="AB95:AB117" si="185">+IF(K78&lt;=0,"",K78)</f>
        <v>100000000</v>
      </c>
      <c r="AC95" s="146">
        <f t="shared" ref="AC95:AC117" ca="1" si="186">+IF(ISERR(M78)=TRUE,"",IF(M78&lt;=0,"",M78))</f>
        <v>112170474.89261439</v>
      </c>
      <c r="AD95" s="146" t="str">
        <f ca="1">+IF(ISERR(AI81)=TRUE,"",IF(AI81&lt;0,"",IF(AI81=0,Z91,AI81)))</f>
        <v/>
      </c>
      <c r="AE95" s="146" t="str">
        <f t="shared" ref="AE95:AE114" ca="1" si="187">+IF(ISERR(AJ55)=TRUE,"",IF(AJ55&lt;=0,"",AJ55))</f>
        <v/>
      </c>
      <c r="AF95" s="146" t="str">
        <f t="shared" ref="AF95:AF114" si="188">+IF(ISERR(T78)=TRUE,"",IF(T78&lt;=0,"",T78))</f>
        <v/>
      </c>
      <c r="AG95" s="146" t="str">
        <f t="shared" ref="AG95:AG114" si="189">+IF(ISERR(U78)=TRUE,"",IF(U78&lt;=0,"",U78))</f>
        <v/>
      </c>
      <c r="AI95" s="151" t="e">
        <f t="shared" ca="1" si="157"/>
        <v>#REF!</v>
      </c>
      <c r="AK95" s="146">
        <f t="shared" si="136"/>
        <v>0</v>
      </c>
      <c r="AL95" s="146">
        <f t="shared" si="162"/>
        <v>0</v>
      </c>
      <c r="AM95" s="146">
        <f t="shared" si="137"/>
        <v>0</v>
      </c>
      <c r="AN95" s="146">
        <f t="shared" si="163"/>
        <v>0</v>
      </c>
      <c r="AO95" s="146">
        <f t="shared" si="138"/>
        <v>0</v>
      </c>
      <c r="AP95" s="146">
        <f t="shared" si="164"/>
        <v>0</v>
      </c>
      <c r="AQ95" s="146">
        <f t="shared" si="139"/>
        <v>0</v>
      </c>
      <c r="AR95" s="146">
        <f t="shared" si="165"/>
        <v>0</v>
      </c>
      <c r="AS95" s="146">
        <f t="shared" si="140"/>
        <v>0</v>
      </c>
      <c r="AT95" s="146">
        <f t="shared" si="166"/>
        <v>0</v>
      </c>
      <c r="AU95" s="146">
        <f t="shared" si="141"/>
        <v>0</v>
      </c>
      <c r="AV95" s="146">
        <f t="shared" si="167"/>
        <v>0</v>
      </c>
      <c r="AW95" s="146">
        <f t="shared" si="142"/>
        <v>0</v>
      </c>
      <c r="AX95" s="146">
        <f t="shared" si="168"/>
        <v>0</v>
      </c>
      <c r="AY95" s="146">
        <f t="shared" si="143"/>
        <v>0</v>
      </c>
      <c r="AZ95" s="146">
        <f t="shared" si="169"/>
        <v>0</v>
      </c>
      <c r="BA95" s="146">
        <f t="shared" si="144"/>
        <v>0</v>
      </c>
      <c r="BB95" s="146">
        <f t="shared" si="170"/>
        <v>0</v>
      </c>
      <c r="BC95" s="146">
        <f t="shared" si="145"/>
        <v>0</v>
      </c>
      <c r="BD95" s="146">
        <f t="shared" si="171"/>
        <v>0</v>
      </c>
      <c r="BE95" s="146">
        <f t="shared" si="146"/>
        <v>0</v>
      </c>
      <c r="BF95" s="146">
        <f t="shared" si="172"/>
        <v>0</v>
      </c>
      <c r="BG95" s="146">
        <f t="shared" si="147"/>
        <v>0</v>
      </c>
      <c r="BH95" s="146">
        <f t="shared" si="173"/>
        <v>0</v>
      </c>
      <c r="BI95" s="146">
        <f t="shared" si="148"/>
        <v>0</v>
      </c>
      <c r="BJ95" s="146">
        <f t="shared" si="174"/>
        <v>0</v>
      </c>
      <c r="BK95" s="146">
        <f t="shared" si="149"/>
        <v>0</v>
      </c>
      <c r="BL95" s="146">
        <f t="shared" si="175"/>
        <v>0</v>
      </c>
      <c r="BM95" s="146">
        <f t="shared" si="150"/>
        <v>0</v>
      </c>
      <c r="BN95" s="146">
        <f t="shared" si="176"/>
        <v>0</v>
      </c>
      <c r="BO95" s="146">
        <f t="shared" si="151"/>
        <v>0</v>
      </c>
      <c r="BP95" s="146">
        <f t="shared" si="177"/>
        <v>0</v>
      </c>
      <c r="BQ95" s="146">
        <f t="shared" si="152"/>
        <v>0</v>
      </c>
      <c r="BR95" s="146">
        <f t="shared" si="178"/>
        <v>0</v>
      </c>
      <c r="BS95" s="146">
        <f t="shared" si="153"/>
        <v>0</v>
      </c>
      <c r="BT95" s="146">
        <f t="shared" si="179"/>
        <v>0</v>
      </c>
      <c r="BU95" s="146">
        <f t="shared" si="154"/>
        <v>0</v>
      </c>
      <c r="BV95" s="146">
        <f t="shared" si="180"/>
        <v>0</v>
      </c>
      <c r="BW95" s="146">
        <f t="shared" si="155"/>
        <v>0</v>
      </c>
      <c r="BX95" s="146">
        <f t="shared" si="181"/>
        <v>0</v>
      </c>
      <c r="BY95" s="146">
        <f t="shared" si="156"/>
        <v>0</v>
      </c>
      <c r="BZ95" s="146">
        <f t="shared" si="182"/>
        <v>0</v>
      </c>
      <c r="CA95" s="146">
        <v>90</v>
      </c>
      <c r="CB95" s="147">
        <v>241235</v>
      </c>
      <c r="CC95" s="147">
        <f t="shared" si="158"/>
        <v>30844</v>
      </c>
      <c r="CD95" s="148">
        <f t="shared" si="159"/>
        <v>0.12785872696747985</v>
      </c>
      <c r="CE95" s="146">
        <v>5.0999999999999996</v>
      </c>
      <c r="CF95" s="147">
        <v>411435</v>
      </c>
      <c r="CG95" s="147">
        <f t="shared" si="160"/>
        <v>39386</v>
      </c>
      <c r="CH95" s="149">
        <f t="shared" si="161"/>
        <v>9.5728365355402439E-2</v>
      </c>
      <c r="CI95" s="146">
        <v>5.8</v>
      </c>
      <c r="CJ95" s="146">
        <v>90</v>
      </c>
      <c r="CK95" s="146">
        <v>3.68</v>
      </c>
      <c r="CL95" s="146">
        <v>4.03</v>
      </c>
    </row>
    <row r="96" spans="3:90" s="146" customFormat="1" ht="13.5" customHeight="1" x14ac:dyDescent="0.35">
      <c r="D96" s="146">
        <f t="shared" si="131"/>
        <v>0</v>
      </c>
      <c r="E96" s="146">
        <f t="shared" si="135"/>
        <v>0</v>
      </c>
      <c r="H96" s="146">
        <f t="shared" si="132"/>
        <v>0</v>
      </c>
      <c r="K96" s="146">
        <f t="shared" si="133"/>
        <v>0</v>
      </c>
      <c r="M96" s="146">
        <f t="shared" ca="1" si="134"/>
        <v>0</v>
      </c>
      <c r="W96" s="154"/>
      <c r="Z96" s="146">
        <f t="shared" si="183"/>
        <v>0</v>
      </c>
      <c r="AA96" s="146">
        <f t="shared" ca="1" si="184"/>
        <v>0</v>
      </c>
      <c r="AB96" s="146">
        <f t="shared" si="185"/>
        <v>100000000</v>
      </c>
      <c r="AC96" s="146">
        <f t="shared" ca="1" si="186"/>
        <v>100000000</v>
      </c>
      <c r="AD96" s="146" t="str">
        <f ca="1">+IF(ISERR(AI82)=TRUE,"",IF(AI82&lt;0,"",IF(AI82=0,Z92,AI82)))</f>
        <v/>
      </c>
      <c r="AE96" s="146" t="str">
        <f t="shared" ca="1" si="187"/>
        <v/>
      </c>
      <c r="AF96" s="146" t="str">
        <f t="shared" si="188"/>
        <v/>
      </c>
      <c r="AG96" s="146" t="str">
        <f t="shared" si="189"/>
        <v/>
      </c>
      <c r="AI96" s="151" t="e">
        <f t="shared" ca="1" si="157"/>
        <v>#REF!</v>
      </c>
      <c r="AK96" s="146">
        <f t="shared" si="136"/>
        <v>0</v>
      </c>
      <c r="AL96" s="146">
        <f t="shared" si="162"/>
        <v>0</v>
      </c>
      <c r="AM96" s="146">
        <f t="shared" si="137"/>
        <v>0</v>
      </c>
      <c r="AN96" s="146">
        <f t="shared" si="163"/>
        <v>0</v>
      </c>
      <c r="AO96" s="146">
        <f t="shared" si="138"/>
        <v>0</v>
      </c>
      <c r="AP96" s="146">
        <f t="shared" si="164"/>
        <v>0</v>
      </c>
      <c r="AQ96" s="146">
        <f t="shared" si="139"/>
        <v>0</v>
      </c>
      <c r="AR96" s="146">
        <f t="shared" si="165"/>
        <v>0</v>
      </c>
      <c r="AS96" s="146">
        <f t="shared" si="140"/>
        <v>0</v>
      </c>
      <c r="AT96" s="146">
        <f t="shared" si="166"/>
        <v>0</v>
      </c>
      <c r="AU96" s="146">
        <f t="shared" si="141"/>
        <v>0</v>
      </c>
      <c r="AV96" s="146">
        <f t="shared" si="167"/>
        <v>0</v>
      </c>
      <c r="AW96" s="146">
        <f t="shared" si="142"/>
        <v>0</v>
      </c>
      <c r="AX96" s="146">
        <f t="shared" si="168"/>
        <v>0</v>
      </c>
      <c r="AY96" s="146">
        <f t="shared" si="143"/>
        <v>0</v>
      </c>
      <c r="AZ96" s="146">
        <f t="shared" si="169"/>
        <v>0</v>
      </c>
      <c r="BA96" s="146">
        <f t="shared" si="144"/>
        <v>0</v>
      </c>
      <c r="BB96" s="146">
        <f t="shared" si="170"/>
        <v>0</v>
      </c>
      <c r="BC96" s="146">
        <f t="shared" si="145"/>
        <v>0</v>
      </c>
      <c r="BD96" s="146">
        <f t="shared" si="171"/>
        <v>0</v>
      </c>
      <c r="BE96" s="146">
        <f t="shared" si="146"/>
        <v>0</v>
      </c>
      <c r="BF96" s="146">
        <f t="shared" si="172"/>
        <v>0</v>
      </c>
      <c r="BG96" s="146">
        <f t="shared" si="147"/>
        <v>0</v>
      </c>
      <c r="BH96" s="146">
        <f t="shared" si="173"/>
        <v>0</v>
      </c>
      <c r="BI96" s="146">
        <f t="shared" si="148"/>
        <v>0</v>
      </c>
      <c r="BJ96" s="146">
        <f t="shared" si="174"/>
        <v>0</v>
      </c>
      <c r="BK96" s="146">
        <f t="shared" si="149"/>
        <v>0</v>
      </c>
      <c r="BL96" s="146">
        <f t="shared" si="175"/>
        <v>0</v>
      </c>
      <c r="BM96" s="146">
        <f t="shared" si="150"/>
        <v>0</v>
      </c>
      <c r="BN96" s="146">
        <f t="shared" si="176"/>
        <v>0</v>
      </c>
      <c r="BO96" s="146">
        <f t="shared" si="151"/>
        <v>0</v>
      </c>
      <c r="BP96" s="146">
        <f t="shared" si="177"/>
        <v>0</v>
      </c>
      <c r="BQ96" s="146">
        <f t="shared" si="152"/>
        <v>0</v>
      </c>
      <c r="BR96" s="146">
        <f t="shared" si="178"/>
        <v>0</v>
      </c>
      <c r="BS96" s="146">
        <f t="shared" si="153"/>
        <v>0</v>
      </c>
      <c r="BT96" s="146">
        <f t="shared" si="179"/>
        <v>0</v>
      </c>
      <c r="BU96" s="146">
        <f t="shared" si="154"/>
        <v>0</v>
      </c>
      <c r="BV96" s="146">
        <f t="shared" si="180"/>
        <v>0</v>
      </c>
      <c r="BW96" s="146">
        <f t="shared" si="155"/>
        <v>0</v>
      </c>
      <c r="BX96" s="146">
        <f t="shared" si="181"/>
        <v>0</v>
      </c>
      <c r="BY96" s="146">
        <f t="shared" si="156"/>
        <v>0</v>
      </c>
      <c r="BZ96" s="146">
        <f t="shared" si="182"/>
        <v>0</v>
      </c>
      <c r="CA96" s="146">
        <v>91</v>
      </c>
      <c r="CB96" s="147">
        <v>210391</v>
      </c>
      <c r="CC96" s="147">
        <f t="shared" si="158"/>
        <v>29239</v>
      </c>
      <c r="CD96" s="148">
        <f t="shared" si="159"/>
        <v>0.1389745759086653</v>
      </c>
      <c r="CE96" s="146">
        <v>4.8</v>
      </c>
      <c r="CF96" s="147">
        <v>372049</v>
      </c>
      <c r="CG96" s="147">
        <f t="shared" si="160"/>
        <v>39709</v>
      </c>
      <c r="CH96" s="149">
        <f t="shared" si="161"/>
        <v>0.10673056505997866</v>
      </c>
      <c r="CI96" s="146">
        <v>5.4</v>
      </c>
      <c r="CJ96" s="146">
        <v>91</v>
      </c>
      <c r="CK96" s="146">
        <v>3.45</v>
      </c>
      <c r="CL96" s="146">
        <v>3.75</v>
      </c>
    </row>
    <row r="97" spans="2:102" s="146" customFormat="1" ht="13.5" customHeight="1" x14ac:dyDescent="0.35">
      <c r="D97" s="146">
        <f t="shared" si="131"/>
        <v>0</v>
      </c>
      <c r="E97" s="146">
        <f>IF(E37="",0,IF(G37="",IF(H37="",0,0),IF(H37="",0,1)))</f>
        <v>0</v>
      </c>
      <c r="H97" s="146">
        <f t="shared" si="132"/>
        <v>0</v>
      </c>
      <c r="K97" s="146">
        <f t="shared" si="133"/>
        <v>0</v>
      </c>
      <c r="M97" s="146">
        <f t="shared" ca="1" si="134"/>
        <v>0</v>
      </c>
      <c r="W97" s="154"/>
      <c r="Z97" s="146">
        <f t="shared" si="183"/>
        <v>0</v>
      </c>
      <c r="AA97" s="146">
        <f t="shared" ca="1" si="184"/>
        <v>0</v>
      </c>
      <c r="AB97" s="146">
        <f t="shared" si="185"/>
        <v>100000000</v>
      </c>
      <c r="AC97" s="146">
        <f t="shared" ca="1" si="186"/>
        <v>100000000</v>
      </c>
      <c r="AD97" s="146" t="str">
        <f ca="1">+IF(ISERR(AI83)=TRUE,"",IF(AI83&lt;0,"",IF(AI83=0,Z93,AI83)))</f>
        <v/>
      </c>
      <c r="AE97" s="146" t="str">
        <f t="shared" ca="1" si="187"/>
        <v/>
      </c>
      <c r="AF97" s="146" t="str">
        <f t="shared" si="188"/>
        <v/>
      </c>
      <c r="AG97" s="146" t="str">
        <f t="shared" si="189"/>
        <v/>
      </c>
      <c r="AI97" s="151" t="e">
        <f t="shared" ca="1" si="157"/>
        <v>#REF!</v>
      </c>
      <c r="AK97" s="146">
        <f t="shared" si="136"/>
        <v>0</v>
      </c>
      <c r="AL97" s="146">
        <f t="shared" si="162"/>
        <v>0</v>
      </c>
      <c r="AM97" s="146">
        <f t="shared" si="137"/>
        <v>0</v>
      </c>
      <c r="AN97" s="146">
        <f t="shared" si="163"/>
        <v>0</v>
      </c>
      <c r="AO97" s="146">
        <f t="shared" si="138"/>
        <v>0</v>
      </c>
      <c r="AP97" s="146">
        <f t="shared" si="164"/>
        <v>0</v>
      </c>
      <c r="AQ97" s="146">
        <f t="shared" si="139"/>
        <v>0</v>
      </c>
      <c r="AR97" s="146">
        <f t="shared" si="165"/>
        <v>0</v>
      </c>
      <c r="AS97" s="146">
        <f t="shared" si="140"/>
        <v>0</v>
      </c>
      <c r="AT97" s="146">
        <f t="shared" si="166"/>
        <v>0</v>
      </c>
      <c r="AU97" s="146">
        <f t="shared" si="141"/>
        <v>0</v>
      </c>
      <c r="AV97" s="146">
        <f t="shared" si="167"/>
        <v>0</v>
      </c>
      <c r="AW97" s="146">
        <f t="shared" si="142"/>
        <v>0</v>
      </c>
      <c r="AX97" s="146">
        <f t="shared" si="168"/>
        <v>0</v>
      </c>
      <c r="AY97" s="146">
        <f t="shared" si="143"/>
        <v>0</v>
      </c>
      <c r="AZ97" s="146">
        <f t="shared" si="169"/>
        <v>0</v>
      </c>
      <c r="BA97" s="146">
        <f t="shared" si="144"/>
        <v>0</v>
      </c>
      <c r="BB97" s="146">
        <f t="shared" si="170"/>
        <v>0</v>
      </c>
      <c r="BC97" s="146">
        <f t="shared" si="145"/>
        <v>0</v>
      </c>
      <c r="BD97" s="146">
        <f t="shared" si="171"/>
        <v>0</v>
      </c>
      <c r="BE97" s="146">
        <f t="shared" si="146"/>
        <v>0</v>
      </c>
      <c r="BF97" s="146">
        <f t="shared" si="172"/>
        <v>0</v>
      </c>
      <c r="BG97" s="146">
        <f t="shared" si="147"/>
        <v>0</v>
      </c>
      <c r="BH97" s="146">
        <f t="shared" si="173"/>
        <v>0</v>
      </c>
      <c r="BI97" s="146">
        <f t="shared" si="148"/>
        <v>0</v>
      </c>
      <c r="BJ97" s="146">
        <f t="shared" si="174"/>
        <v>0</v>
      </c>
      <c r="BK97" s="146">
        <f t="shared" si="149"/>
        <v>0</v>
      </c>
      <c r="BL97" s="146">
        <f t="shared" si="175"/>
        <v>0</v>
      </c>
      <c r="BM97" s="146">
        <f t="shared" si="150"/>
        <v>0</v>
      </c>
      <c r="BN97" s="146">
        <f t="shared" si="176"/>
        <v>0</v>
      </c>
      <c r="BO97" s="146">
        <f t="shared" si="151"/>
        <v>0</v>
      </c>
      <c r="BP97" s="146">
        <f t="shared" si="177"/>
        <v>0</v>
      </c>
      <c r="BQ97" s="146">
        <f t="shared" si="152"/>
        <v>0</v>
      </c>
      <c r="BR97" s="146">
        <f t="shared" si="178"/>
        <v>0</v>
      </c>
      <c r="BS97" s="146">
        <f t="shared" si="153"/>
        <v>0</v>
      </c>
      <c r="BT97" s="146">
        <f t="shared" si="179"/>
        <v>0</v>
      </c>
      <c r="BU97" s="146">
        <f t="shared" si="154"/>
        <v>0</v>
      </c>
      <c r="BV97" s="146">
        <f t="shared" si="180"/>
        <v>0</v>
      </c>
      <c r="BW97" s="146">
        <f t="shared" si="155"/>
        <v>0</v>
      </c>
      <c r="BX97" s="146">
        <f t="shared" si="181"/>
        <v>0</v>
      </c>
      <c r="BY97" s="146">
        <f t="shared" si="156"/>
        <v>0</v>
      </c>
      <c r="BZ97" s="146">
        <f t="shared" si="182"/>
        <v>0</v>
      </c>
      <c r="CA97" s="146">
        <v>92</v>
      </c>
      <c r="CB97" s="147">
        <v>181152</v>
      </c>
      <c r="CC97" s="147">
        <f t="shared" si="158"/>
        <v>27344</v>
      </c>
      <c r="CD97" s="148">
        <f t="shared" si="159"/>
        <v>0.1509450627097686</v>
      </c>
      <c r="CE97" s="146">
        <v>4.5</v>
      </c>
      <c r="CF97" s="147">
        <v>332340</v>
      </c>
      <c r="CG97" s="147">
        <f t="shared" si="160"/>
        <v>39700</v>
      </c>
      <c r="CH97" s="149">
        <f t="shared" si="161"/>
        <v>0.11945597881687428</v>
      </c>
      <c r="CI97" s="146">
        <v>5</v>
      </c>
      <c r="CJ97" s="146">
        <v>92</v>
      </c>
      <c r="CK97" s="146">
        <v>3.24</v>
      </c>
      <c r="CL97" s="146">
        <v>3.49</v>
      </c>
    </row>
    <row r="98" spans="2:102" s="146" customFormat="1" ht="13.5" customHeight="1" x14ac:dyDescent="0.35">
      <c r="D98" s="146">
        <f t="shared" si="131"/>
        <v>0</v>
      </c>
      <c r="E98" s="146">
        <f>IF(E38="",0,IF(G38="",IF(H38="",0,0),IF(H38="",0,1)))</f>
        <v>0</v>
      </c>
      <c r="H98" s="146">
        <f t="shared" si="132"/>
        <v>0</v>
      </c>
      <c r="K98" s="146">
        <f t="shared" si="133"/>
        <v>0</v>
      </c>
      <c r="M98" s="146">
        <f t="shared" ref="M98:M100" ca="1" si="190">+K98+AI40</f>
        <v>0</v>
      </c>
      <c r="W98" s="154"/>
      <c r="Z98" s="146">
        <f t="shared" si="183"/>
        <v>0</v>
      </c>
      <c r="AA98" s="146">
        <f t="shared" ca="1" si="184"/>
        <v>0</v>
      </c>
      <c r="AB98" s="146">
        <f t="shared" si="185"/>
        <v>50000000</v>
      </c>
      <c r="AC98" s="146">
        <f t="shared" ca="1" si="186"/>
        <v>50000000</v>
      </c>
      <c r="AD98" s="146" t="str">
        <f t="shared" ref="AD98:AD114" ca="1" si="191">+IF(ISERR(AI84)=TRUE,"",IF(AI84&lt;0,"",IF(AI84=0,Z94,AI84)))</f>
        <v/>
      </c>
      <c r="AE98" s="146" t="str">
        <f t="shared" ca="1" si="187"/>
        <v/>
      </c>
      <c r="AF98" s="146" t="str">
        <f t="shared" si="188"/>
        <v/>
      </c>
      <c r="AG98" s="146" t="str">
        <f t="shared" si="189"/>
        <v/>
      </c>
      <c r="AI98" s="151" t="e">
        <f t="shared" ca="1" si="157"/>
        <v>#REF!</v>
      </c>
      <c r="AK98" s="146">
        <f t="shared" si="136"/>
        <v>0</v>
      </c>
      <c r="AL98" s="146">
        <f t="shared" si="162"/>
        <v>0</v>
      </c>
      <c r="AM98" s="146">
        <f t="shared" si="137"/>
        <v>0</v>
      </c>
      <c r="AN98" s="146">
        <f t="shared" si="163"/>
        <v>0</v>
      </c>
      <c r="AO98" s="146">
        <f t="shared" si="138"/>
        <v>0</v>
      </c>
      <c r="AP98" s="146">
        <f t="shared" si="164"/>
        <v>0</v>
      </c>
      <c r="AQ98" s="146">
        <f t="shared" si="139"/>
        <v>0</v>
      </c>
      <c r="AR98" s="146">
        <f t="shared" si="165"/>
        <v>0</v>
      </c>
      <c r="AS98" s="146">
        <f t="shared" si="140"/>
        <v>0</v>
      </c>
      <c r="AT98" s="146">
        <f t="shared" si="166"/>
        <v>0</v>
      </c>
      <c r="AU98" s="146">
        <f t="shared" si="141"/>
        <v>0</v>
      </c>
      <c r="AV98" s="146">
        <f t="shared" si="167"/>
        <v>0</v>
      </c>
      <c r="AW98" s="146">
        <f t="shared" si="142"/>
        <v>0</v>
      </c>
      <c r="AX98" s="146">
        <f t="shared" si="168"/>
        <v>0</v>
      </c>
      <c r="AY98" s="146">
        <f t="shared" si="143"/>
        <v>0</v>
      </c>
      <c r="AZ98" s="146">
        <f t="shared" si="169"/>
        <v>0</v>
      </c>
      <c r="BA98" s="146">
        <f t="shared" si="144"/>
        <v>0</v>
      </c>
      <c r="BB98" s="146">
        <f t="shared" si="170"/>
        <v>0</v>
      </c>
      <c r="BC98" s="146">
        <f t="shared" si="145"/>
        <v>0</v>
      </c>
      <c r="BD98" s="146">
        <f t="shared" si="171"/>
        <v>0</v>
      </c>
      <c r="BE98" s="146">
        <f t="shared" si="146"/>
        <v>0</v>
      </c>
      <c r="BF98" s="146">
        <f t="shared" si="172"/>
        <v>0</v>
      </c>
      <c r="BG98" s="146">
        <f t="shared" si="147"/>
        <v>0</v>
      </c>
      <c r="BH98" s="146">
        <f t="shared" si="173"/>
        <v>0</v>
      </c>
      <c r="BI98" s="146">
        <f t="shared" si="148"/>
        <v>0</v>
      </c>
      <c r="BJ98" s="146">
        <f t="shared" si="174"/>
        <v>0</v>
      </c>
      <c r="BK98" s="146">
        <f t="shared" si="149"/>
        <v>0</v>
      </c>
      <c r="BL98" s="146">
        <f t="shared" si="175"/>
        <v>0</v>
      </c>
      <c r="BM98" s="146">
        <f t="shared" si="150"/>
        <v>0</v>
      </c>
      <c r="BN98" s="146">
        <f t="shared" si="176"/>
        <v>0</v>
      </c>
      <c r="BO98" s="146">
        <f t="shared" si="151"/>
        <v>0</v>
      </c>
      <c r="BP98" s="146">
        <f t="shared" si="177"/>
        <v>0</v>
      </c>
      <c r="BQ98" s="146">
        <f t="shared" si="152"/>
        <v>0</v>
      </c>
      <c r="BR98" s="146">
        <f t="shared" si="178"/>
        <v>0</v>
      </c>
      <c r="BS98" s="146">
        <f t="shared" si="153"/>
        <v>0</v>
      </c>
      <c r="BT98" s="146">
        <f t="shared" si="179"/>
        <v>0</v>
      </c>
      <c r="BU98" s="146">
        <f t="shared" si="154"/>
        <v>0</v>
      </c>
      <c r="BV98" s="146">
        <f t="shared" si="180"/>
        <v>0</v>
      </c>
      <c r="BW98" s="146">
        <f t="shared" si="155"/>
        <v>0</v>
      </c>
      <c r="BX98" s="146">
        <f t="shared" si="181"/>
        <v>0</v>
      </c>
      <c r="BY98" s="146">
        <f t="shared" si="156"/>
        <v>0</v>
      </c>
      <c r="BZ98" s="146">
        <f t="shared" si="182"/>
        <v>0</v>
      </c>
      <c r="CA98" s="146">
        <v>93</v>
      </c>
      <c r="CB98" s="147">
        <v>153808</v>
      </c>
      <c r="CC98" s="147">
        <f t="shared" si="158"/>
        <v>25199</v>
      </c>
      <c r="CD98" s="148">
        <f t="shared" si="159"/>
        <v>0.16383413086445439</v>
      </c>
      <c r="CE98" s="146">
        <v>4.2</v>
      </c>
      <c r="CF98" s="147">
        <v>292640</v>
      </c>
      <c r="CG98" s="147">
        <f t="shared" si="160"/>
        <v>39188</v>
      </c>
      <c r="CH98" s="149">
        <f t="shared" si="161"/>
        <v>0.13391197375615091</v>
      </c>
      <c r="CI98" s="146">
        <v>4.5999999999999996</v>
      </c>
      <c r="CJ98" s="146">
        <v>93</v>
      </c>
      <c r="CK98" s="146">
        <v>3.03</v>
      </c>
      <c r="CL98" s="146">
        <v>3.24</v>
      </c>
    </row>
    <row r="99" spans="2:102" s="146" customFormat="1" ht="13.5" customHeight="1" x14ac:dyDescent="0.35">
      <c r="D99" s="146">
        <f t="shared" si="131"/>
        <v>0</v>
      </c>
      <c r="E99" s="146">
        <f>IF(E39="",0,IF(G39="",IF(H39="",0,0),IF(H39="",0,1)))</f>
        <v>0</v>
      </c>
      <c r="H99" s="146">
        <f t="shared" si="132"/>
        <v>0</v>
      </c>
      <c r="K99" s="146">
        <f t="shared" si="133"/>
        <v>0</v>
      </c>
      <c r="M99" s="146">
        <f t="shared" ca="1" si="190"/>
        <v>0</v>
      </c>
      <c r="W99" s="154"/>
      <c r="Z99" s="146">
        <f t="shared" si="183"/>
        <v>0</v>
      </c>
      <c r="AA99" s="146">
        <f t="shared" ca="1" si="184"/>
        <v>0</v>
      </c>
      <c r="AB99" s="146">
        <f t="shared" si="185"/>
        <v>50000000</v>
      </c>
      <c r="AC99" s="146">
        <f t="shared" ca="1" si="186"/>
        <v>50000000</v>
      </c>
      <c r="AD99" s="146" t="str">
        <f t="shared" ca="1" si="191"/>
        <v/>
      </c>
      <c r="AE99" s="146" t="str">
        <f t="shared" ca="1" si="187"/>
        <v/>
      </c>
      <c r="AF99" s="146" t="str">
        <f t="shared" si="188"/>
        <v/>
      </c>
      <c r="AG99" s="146" t="str">
        <f t="shared" si="189"/>
        <v/>
      </c>
      <c r="AH99" s="146" t="str">
        <f t="shared" ref="AH99:AH118" si="192">+IF(ISERR(W78)=TRUE,"",IF(W78&lt;=0,"",W78))</f>
        <v/>
      </c>
      <c r="AI99" s="151" t="e">
        <f t="shared" ca="1" si="157"/>
        <v>#REF!</v>
      </c>
      <c r="AK99" s="146">
        <f t="shared" si="136"/>
        <v>0</v>
      </c>
      <c r="AL99" s="146">
        <f t="shared" si="162"/>
        <v>0</v>
      </c>
      <c r="AM99" s="146">
        <f t="shared" si="137"/>
        <v>0</v>
      </c>
      <c r="AN99" s="146">
        <f t="shared" si="163"/>
        <v>0</v>
      </c>
      <c r="AO99" s="146">
        <f t="shared" si="138"/>
        <v>0</v>
      </c>
      <c r="AP99" s="146">
        <f t="shared" si="164"/>
        <v>0</v>
      </c>
      <c r="AQ99" s="146">
        <f t="shared" si="139"/>
        <v>0</v>
      </c>
      <c r="AR99" s="146">
        <f t="shared" si="165"/>
        <v>0</v>
      </c>
      <c r="AS99" s="146">
        <f t="shared" si="140"/>
        <v>0</v>
      </c>
      <c r="AT99" s="146">
        <f t="shared" si="166"/>
        <v>0</v>
      </c>
      <c r="AU99" s="146">
        <f t="shared" si="141"/>
        <v>0</v>
      </c>
      <c r="AV99" s="146">
        <f t="shared" si="167"/>
        <v>0</v>
      </c>
      <c r="AW99" s="146">
        <f t="shared" si="142"/>
        <v>0</v>
      </c>
      <c r="AX99" s="146">
        <f t="shared" si="168"/>
        <v>0</v>
      </c>
      <c r="AY99" s="146">
        <f t="shared" si="143"/>
        <v>0</v>
      </c>
      <c r="AZ99" s="146">
        <f t="shared" si="169"/>
        <v>0</v>
      </c>
      <c r="BA99" s="146">
        <f t="shared" si="144"/>
        <v>0</v>
      </c>
      <c r="BB99" s="146">
        <f t="shared" si="170"/>
        <v>0</v>
      </c>
      <c r="BC99" s="146">
        <f t="shared" si="145"/>
        <v>0</v>
      </c>
      <c r="BD99" s="146">
        <f t="shared" si="171"/>
        <v>0</v>
      </c>
      <c r="BE99" s="146">
        <f t="shared" si="146"/>
        <v>0</v>
      </c>
      <c r="BF99" s="146">
        <f t="shared" si="172"/>
        <v>0</v>
      </c>
      <c r="BG99" s="146">
        <f t="shared" si="147"/>
        <v>0</v>
      </c>
      <c r="BH99" s="146">
        <f t="shared" si="173"/>
        <v>0</v>
      </c>
      <c r="BI99" s="146">
        <f t="shared" si="148"/>
        <v>0</v>
      </c>
      <c r="BJ99" s="146">
        <f t="shared" si="174"/>
        <v>0</v>
      </c>
      <c r="BK99" s="146">
        <f t="shared" si="149"/>
        <v>0</v>
      </c>
      <c r="BL99" s="146">
        <f t="shared" si="175"/>
        <v>0</v>
      </c>
      <c r="BM99" s="146">
        <f t="shared" si="150"/>
        <v>0</v>
      </c>
      <c r="BN99" s="146">
        <f t="shared" si="176"/>
        <v>0</v>
      </c>
      <c r="BO99" s="146">
        <f t="shared" si="151"/>
        <v>0</v>
      </c>
      <c r="BP99" s="146">
        <f t="shared" si="177"/>
        <v>0</v>
      </c>
      <c r="BQ99" s="146">
        <f t="shared" si="152"/>
        <v>0</v>
      </c>
      <c r="BR99" s="146">
        <f t="shared" si="178"/>
        <v>0</v>
      </c>
      <c r="BS99" s="146">
        <f t="shared" si="153"/>
        <v>0</v>
      </c>
      <c r="BT99" s="146">
        <f t="shared" si="179"/>
        <v>0</v>
      </c>
      <c r="BU99" s="146">
        <f t="shared" si="154"/>
        <v>0</v>
      </c>
      <c r="BV99" s="146">
        <f t="shared" si="180"/>
        <v>0</v>
      </c>
      <c r="BW99" s="146">
        <f t="shared" si="155"/>
        <v>0</v>
      </c>
      <c r="BX99" s="146">
        <f t="shared" si="181"/>
        <v>0</v>
      </c>
      <c r="BY99" s="146">
        <f t="shared" si="156"/>
        <v>0</v>
      </c>
      <c r="BZ99" s="146">
        <f t="shared" si="182"/>
        <v>0</v>
      </c>
      <c r="CA99" s="146">
        <v>94</v>
      </c>
      <c r="CB99" s="147">
        <v>128609</v>
      </c>
      <c r="CC99" s="147">
        <f t="shared" si="158"/>
        <v>22851</v>
      </c>
      <c r="CD99" s="148">
        <f t="shared" si="159"/>
        <v>0.17767807851705558</v>
      </c>
      <c r="CE99" s="146">
        <v>3.9</v>
      </c>
      <c r="CF99" s="147">
        <v>253452</v>
      </c>
      <c r="CG99" s="147">
        <f t="shared" si="160"/>
        <v>38041</v>
      </c>
      <c r="CH99" s="149">
        <f t="shared" si="161"/>
        <v>0.15009153606994619</v>
      </c>
      <c r="CI99" s="146">
        <v>4.2</v>
      </c>
      <c r="CJ99" s="146">
        <v>94</v>
      </c>
      <c r="CK99" s="146">
        <v>2.84</v>
      </c>
      <c r="CL99" s="146">
        <v>3</v>
      </c>
    </row>
    <row r="100" spans="2:102" s="146" customFormat="1" ht="13.5" customHeight="1" x14ac:dyDescent="0.35">
      <c r="D100" s="146">
        <f t="shared" si="131"/>
        <v>0</v>
      </c>
      <c r="E100" s="146">
        <f>IF(E40="",0,IF(G40="",IF(H40="",0,0),IF(H40="",0,1)))</f>
        <v>0</v>
      </c>
      <c r="H100" s="146">
        <f t="shared" si="132"/>
        <v>0</v>
      </c>
      <c r="K100" s="146">
        <f t="shared" si="133"/>
        <v>0</v>
      </c>
      <c r="M100" s="146">
        <f t="shared" ca="1" si="190"/>
        <v>0</v>
      </c>
      <c r="W100" s="154"/>
      <c r="Z100" s="146">
        <f t="shared" si="183"/>
        <v>0</v>
      </c>
      <c r="AA100" s="146">
        <f t="shared" ca="1" si="184"/>
        <v>0</v>
      </c>
      <c r="AB100" s="146">
        <f t="shared" si="185"/>
        <v>50000000</v>
      </c>
      <c r="AC100" s="146">
        <f t="shared" ca="1" si="186"/>
        <v>50000000</v>
      </c>
      <c r="AD100" s="146" t="str">
        <f t="shared" ca="1" si="191"/>
        <v/>
      </c>
      <c r="AE100" s="146" t="str">
        <f t="shared" ca="1" si="187"/>
        <v/>
      </c>
      <c r="AF100" s="146" t="str">
        <f t="shared" si="188"/>
        <v/>
      </c>
      <c r="AG100" s="146" t="str">
        <f t="shared" si="189"/>
        <v/>
      </c>
      <c r="AH100" s="146" t="str">
        <f t="shared" si="192"/>
        <v/>
      </c>
      <c r="AI100" s="151" t="e">
        <f t="shared" ca="1" si="157"/>
        <v>#REF!</v>
      </c>
      <c r="AK100" s="146">
        <f t="shared" si="136"/>
        <v>0</v>
      </c>
      <c r="AL100" s="146">
        <f t="shared" si="162"/>
        <v>0</v>
      </c>
      <c r="AM100" s="146">
        <f t="shared" si="137"/>
        <v>0</v>
      </c>
      <c r="AN100" s="146">
        <f t="shared" si="163"/>
        <v>0</v>
      </c>
      <c r="AO100" s="146">
        <f t="shared" si="138"/>
        <v>0</v>
      </c>
      <c r="AP100" s="146">
        <f t="shared" si="164"/>
        <v>0</v>
      </c>
      <c r="AQ100" s="146">
        <f t="shared" si="139"/>
        <v>0</v>
      </c>
      <c r="AR100" s="146">
        <f t="shared" si="165"/>
        <v>0</v>
      </c>
      <c r="AS100" s="146">
        <f t="shared" si="140"/>
        <v>0</v>
      </c>
      <c r="AT100" s="146">
        <f t="shared" si="166"/>
        <v>0</v>
      </c>
      <c r="AU100" s="146">
        <f t="shared" si="141"/>
        <v>0</v>
      </c>
      <c r="AV100" s="146">
        <f t="shared" si="167"/>
        <v>0</v>
      </c>
      <c r="AW100" s="146">
        <f t="shared" si="142"/>
        <v>0</v>
      </c>
      <c r="AX100" s="146">
        <f t="shared" si="168"/>
        <v>0</v>
      </c>
      <c r="AY100" s="146">
        <f t="shared" si="143"/>
        <v>0</v>
      </c>
      <c r="AZ100" s="146">
        <f t="shared" si="169"/>
        <v>0</v>
      </c>
      <c r="BA100" s="146">
        <f t="shared" si="144"/>
        <v>0</v>
      </c>
      <c r="BB100" s="146">
        <f t="shared" si="170"/>
        <v>0</v>
      </c>
      <c r="BC100" s="146">
        <f t="shared" si="145"/>
        <v>0</v>
      </c>
      <c r="BD100" s="146">
        <f t="shared" si="171"/>
        <v>0</v>
      </c>
      <c r="BE100" s="146">
        <f t="shared" si="146"/>
        <v>0</v>
      </c>
      <c r="BF100" s="146">
        <f t="shared" si="172"/>
        <v>0</v>
      </c>
      <c r="BG100" s="146">
        <f t="shared" si="147"/>
        <v>0</v>
      </c>
      <c r="BH100" s="146">
        <f t="shared" si="173"/>
        <v>0</v>
      </c>
      <c r="BI100" s="146">
        <f t="shared" si="148"/>
        <v>0</v>
      </c>
      <c r="BJ100" s="146">
        <f t="shared" si="174"/>
        <v>0</v>
      </c>
      <c r="BK100" s="146">
        <f t="shared" si="149"/>
        <v>0</v>
      </c>
      <c r="BL100" s="146">
        <f t="shared" si="175"/>
        <v>0</v>
      </c>
      <c r="BM100" s="146">
        <f t="shared" si="150"/>
        <v>0</v>
      </c>
      <c r="BN100" s="146">
        <f t="shared" si="176"/>
        <v>0</v>
      </c>
      <c r="BO100" s="146">
        <f t="shared" si="151"/>
        <v>0</v>
      </c>
      <c r="BP100" s="146">
        <f t="shared" si="177"/>
        <v>0</v>
      </c>
      <c r="BQ100" s="146">
        <f t="shared" si="152"/>
        <v>0</v>
      </c>
      <c r="BR100" s="146">
        <f t="shared" si="178"/>
        <v>0</v>
      </c>
      <c r="BS100" s="146">
        <f t="shared" si="153"/>
        <v>0</v>
      </c>
      <c r="BT100" s="146">
        <f t="shared" si="179"/>
        <v>0</v>
      </c>
      <c r="BU100" s="146">
        <f t="shared" si="154"/>
        <v>0</v>
      </c>
      <c r="BV100" s="146">
        <f t="shared" si="180"/>
        <v>0</v>
      </c>
      <c r="BW100" s="146">
        <f t="shared" si="155"/>
        <v>0</v>
      </c>
      <c r="BX100" s="146">
        <f t="shared" si="181"/>
        <v>0</v>
      </c>
      <c r="BY100" s="146">
        <f t="shared" si="156"/>
        <v>0</v>
      </c>
      <c r="BZ100" s="146">
        <f t="shared" si="182"/>
        <v>0</v>
      </c>
      <c r="CA100" s="146">
        <v>95</v>
      </c>
      <c r="CB100" s="147">
        <v>105758</v>
      </c>
      <c r="CC100" s="147">
        <f t="shared" si="158"/>
        <v>20363</v>
      </c>
      <c r="CD100" s="148">
        <f t="shared" si="159"/>
        <v>0.19254335369428319</v>
      </c>
      <c r="CE100" s="146">
        <v>3.6</v>
      </c>
      <c r="CF100" s="147">
        <v>215411</v>
      </c>
      <c r="CG100" s="147">
        <f t="shared" si="160"/>
        <v>36189</v>
      </c>
      <c r="CH100" s="149">
        <f t="shared" si="161"/>
        <v>0.1679997771701538</v>
      </c>
      <c r="CI100" s="146">
        <v>3.9</v>
      </c>
      <c r="CJ100" s="146">
        <v>95</v>
      </c>
      <c r="CK100" s="146">
        <v>2.65</v>
      </c>
      <c r="CL100" s="146">
        <v>2.78</v>
      </c>
    </row>
    <row r="101" spans="2:102" s="146" customFormat="1" ht="13.5" customHeight="1" x14ac:dyDescent="0.35">
      <c r="W101" s="154"/>
      <c r="Z101" s="146">
        <f t="shared" si="183"/>
        <v>0</v>
      </c>
      <c r="AA101" s="146">
        <f t="shared" ca="1" si="184"/>
        <v>0</v>
      </c>
      <c r="AB101" s="146">
        <f t="shared" si="185"/>
        <v>50000000</v>
      </c>
      <c r="AC101" s="146">
        <f t="shared" ca="1" si="186"/>
        <v>50000000</v>
      </c>
      <c r="AD101" s="146" t="str">
        <f t="shared" ca="1" si="191"/>
        <v/>
      </c>
      <c r="AE101" s="146" t="str">
        <f t="shared" ca="1" si="187"/>
        <v/>
      </c>
      <c r="AF101" s="146" t="str">
        <f t="shared" si="188"/>
        <v/>
      </c>
      <c r="AG101" s="146" t="str">
        <f t="shared" si="189"/>
        <v/>
      </c>
      <c r="AH101" s="146" t="str">
        <f t="shared" si="192"/>
        <v/>
      </c>
      <c r="AI101" s="151"/>
      <c r="AK101" s="146">
        <f t="shared" si="136"/>
        <v>0</v>
      </c>
      <c r="AL101" s="146">
        <f t="shared" si="162"/>
        <v>0</v>
      </c>
      <c r="AM101" s="146">
        <f t="shared" si="137"/>
        <v>0</v>
      </c>
      <c r="AN101" s="146">
        <f t="shared" si="163"/>
        <v>0</v>
      </c>
      <c r="AO101" s="146">
        <f t="shared" si="138"/>
        <v>0</v>
      </c>
      <c r="AP101" s="146">
        <f t="shared" si="164"/>
        <v>0</v>
      </c>
      <c r="AQ101" s="146">
        <f t="shared" si="139"/>
        <v>0</v>
      </c>
      <c r="AR101" s="146">
        <f t="shared" si="165"/>
        <v>0</v>
      </c>
      <c r="AS101" s="146">
        <f t="shared" si="140"/>
        <v>0</v>
      </c>
      <c r="AT101" s="146">
        <f t="shared" si="166"/>
        <v>0</v>
      </c>
      <c r="AU101" s="146">
        <f t="shared" si="141"/>
        <v>0</v>
      </c>
      <c r="AV101" s="146">
        <f t="shared" si="167"/>
        <v>0</v>
      </c>
      <c r="AW101" s="146">
        <f t="shared" si="142"/>
        <v>0</v>
      </c>
      <c r="AX101" s="146">
        <f t="shared" si="168"/>
        <v>0</v>
      </c>
      <c r="AY101" s="146">
        <f t="shared" si="143"/>
        <v>0</v>
      </c>
      <c r="AZ101" s="146">
        <f t="shared" si="169"/>
        <v>0</v>
      </c>
      <c r="BA101" s="146">
        <f t="shared" si="144"/>
        <v>0</v>
      </c>
      <c r="BB101" s="146">
        <f t="shared" si="170"/>
        <v>0</v>
      </c>
      <c r="BC101" s="146">
        <f t="shared" si="145"/>
        <v>0</v>
      </c>
      <c r="BD101" s="146">
        <f t="shared" si="171"/>
        <v>0</v>
      </c>
      <c r="BE101" s="146">
        <f t="shared" si="146"/>
        <v>0</v>
      </c>
      <c r="BF101" s="146">
        <f t="shared" si="172"/>
        <v>0</v>
      </c>
      <c r="BG101" s="146">
        <f t="shared" si="147"/>
        <v>0</v>
      </c>
      <c r="BH101" s="146">
        <f t="shared" si="173"/>
        <v>0</v>
      </c>
      <c r="BI101" s="146">
        <f t="shared" si="148"/>
        <v>0</v>
      </c>
      <c r="BJ101" s="146">
        <f t="shared" si="174"/>
        <v>0</v>
      </c>
      <c r="BK101" s="146">
        <f t="shared" si="149"/>
        <v>0</v>
      </c>
      <c r="BL101" s="146">
        <f t="shared" si="175"/>
        <v>0</v>
      </c>
      <c r="BM101" s="146">
        <f t="shared" si="150"/>
        <v>0</v>
      </c>
      <c r="BN101" s="146">
        <f t="shared" si="176"/>
        <v>0</v>
      </c>
      <c r="BO101" s="146">
        <f t="shared" si="151"/>
        <v>0</v>
      </c>
      <c r="BP101" s="146">
        <f t="shared" si="177"/>
        <v>0</v>
      </c>
      <c r="BQ101" s="146">
        <f t="shared" si="152"/>
        <v>0</v>
      </c>
      <c r="BR101" s="146">
        <f t="shared" si="178"/>
        <v>0</v>
      </c>
      <c r="BS101" s="146">
        <f t="shared" si="153"/>
        <v>0</v>
      </c>
      <c r="BT101" s="146">
        <f t="shared" si="179"/>
        <v>0</v>
      </c>
      <c r="BU101" s="146">
        <f t="shared" si="154"/>
        <v>0</v>
      </c>
      <c r="BV101" s="146">
        <f t="shared" si="180"/>
        <v>0</v>
      </c>
      <c r="BW101" s="146">
        <f t="shared" si="155"/>
        <v>0</v>
      </c>
      <c r="BX101" s="146">
        <f t="shared" si="181"/>
        <v>0</v>
      </c>
      <c r="BY101" s="146">
        <f t="shared" si="156"/>
        <v>0</v>
      </c>
      <c r="BZ101" s="146">
        <f t="shared" si="182"/>
        <v>0</v>
      </c>
      <c r="CA101" s="146">
        <v>96</v>
      </c>
      <c r="CB101" s="147">
        <v>85395</v>
      </c>
      <c r="CC101" s="147">
        <f t="shared" si="158"/>
        <v>17839</v>
      </c>
      <c r="CD101" s="148">
        <f t="shared" si="159"/>
        <v>0.20889981849054395</v>
      </c>
      <c r="CE101" s="146">
        <v>3.3</v>
      </c>
      <c r="CF101" s="147">
        <v>179222</v>
      </c>
      <c r="CG101" s="147">
        <f t="shared" si="160"/>
        <v>33628</v>
      </c>
      <c r="CH101" s="149">
        <f t="shared" si="161"/>
        <v>0.18763321467230584</v>
      </c>
      <c r="CI101" s="146">
        <v>3.5</v>
      </c>
      <c r="CJ101" s="146">
        <v>96</v>
      </c>
      <c r="CK101" s="146">
        <v>2.48</v>
      </c>
      <c r="CL101" s="146">
        <v>2.58</v>
      </c>
    </row>
    <row r="102" spans="2:102" s="146" customFormat="1" ht="14.25" customHeight="1" x14ac:dyDescent="0.35">
      <c r="D102" s="146" t="s">
        <v>131</v>
      </c>
      <c r="E102" s="146" t="s">
        <v>132</v>
      </c>
      <c r="H102" s="146" t="s">
        <v>133</v>
      </c>
      <c r="W102" s="154"/>
      <c r="Z102" s="146">
        <f t="shared" si="183"/>
        <v>0</v>
      </c>
      <c r="AA102" s="146">
        <f t="shared" ca="1" si="184"/>
        <v>0</v>
      </c>
      <c r="AB102" s="146">
        <f t="shared" si="185"/>
        <v>50000000</v>
      </c>
      <c r="AC102" s="146">
        <f t="shared" ca="1" si="186"/>
        <v>50000000</v>
      </c>
      <c r="AD102" s="146" t="str">
        <f t="shared" ca="1" si="191"/>
        <v/>
      </c>
      <c r="AE102" s="146" t="str">
        <f t="shared" ca="1" si="187"/>
        <v/>
      </c>
      <c r="AF102" s="146" t="str">
        <f t="shared" si="188"/>
        <v/>
      </c>
      <c r="AG102" s="146" t="str">
        <f t="shared" si="189"/>
        <v/>
      </c>
      <c r="AH102" s="146" t="str">
        <f t="shared" si="192"/>
        <v/>
      </c>
      <c r="AI102" s="151" t="e">
        <f ca="1">+AJ54*$AF$80</f>
        <v>#REF!</v>
      </c>
      <c r="AK102" s="146">
        <f t="shared" si="136"/>
        <v>0</v>
      </c>
      <c r="AL102" s="146">
        <f t="shared" si="162"/>
        <v>0</v>
      </c>
      <c r="AM102" s="146">
        <f t="shared" si="137"/>
        <v>0</v>
      </c>
      <c r="AN102" s="146">
        <f t="shared" si="163"/>
        <v>0</v>
      </c>
      <c r="AO102" s="146">
        <f t="shared" si="138"/>
        <v>0</v>
      </c>
      <c r="AP102" s="146">
        <f t="shared" si="164"/>
        <v>0</v>
      </c>
      <c r="AQ102" s="146">
        <f t="shared" si="139"/>
        <v>0</v>
      </c>
      <c r="AR102" s="146">
        <f t="shared" si="165"/>
        <v>0</v>
      </c>
      <c r="AS102" s="146">
        <f t="shared" si="140"/>
        <v>0</v>
      </c>
      <c r="AT102" s="146">
        <f t="shared" si="166"/>
        <v>0</v>
      </c>
      <c r="AU102" s="146">
        <f t="shared" si="141"/>
        <v>0</v>
      </c>
      <c r="AV102" s="146">
        <f t="shared" si="167"/>
        <v>0</v>
      </c>
      <c r="AW102" s="146">
        <f t="shared" si="142"/>
        <v>0</v>
      </c>
      <c r="AX102" s="146">
        <f t="shared" si="168"/>
        <v>0</v>
      </c>
      <c r="AY102" s="146">
        <f t="shared" si="143"/>
        <v>0</v>
      </c>
      <c r="AZ102" s="146">
        <f t="shared" si="169"/>
        <v>0</v>
      </c>
      <c r="BA102" s="146">
        <f t="shared" si="144"/>
        <v>0</v>
      </c>
      <c r="BB102" s="146">
        <f t="shared" si="170"/>
        <v>0</v>
      </c>
      <c r="BC102" s="146">
        <f t="shared" si="145"/>
        <v>0</v>
      </c>
      <c r="BD102" s="146">
        <f t="shared" si="171"/>
        <v>0</v>
      </c>
      <c r="BE102" s="146">
        <f t="shared" si="146"/>
        <v>0</v>
      </c>
      <c r="BF102" s="146">
        <f t="shared" si="172"/>
        <v>0</v>
      </c>
      <c r="BG102" s="146">
        <f t="shared" si="147"/>
        <v>0</v>
      </c>
      <c r="BH102" s="146">
        <f t="shared" si="173"/>
        <v>0</v>
      </c>
      <c r="BI102" s="146">
        <f t="shared" si="148"/>
        <v>0</v>
      </c>
      <c r="BJ102" s="146">
        <f t="shared" si="174"/>
        <v>0</v>
      </c>
      <c r="BK102" s="146">
        <f t="shared" si="149"/>
        <v>0</v>
      </c>
      <c r="BL102" s="146">
        <f t="shared" si="175"/>
        <v>0</v>
      </c>
      <c r="BM102" s="146">
        <f t="shared" si="150"/>
        <v>0</v>
      </c>
      <c r="BN102" s="146">
        <f t="shared" si="176"/>
        <v>0</v>
      </c>
      <c r="BO102" s="146">
        <f t="shared" si="151"/>
        <v>0</v>
      </c>
      <c r="BP102" s="146">
        <f t="shared" si="177"/>
        <v>0</v>
      </c>
      <c r="BQ102" s="146">
        <f t="shared" si="152"/>
        <v>0</v>
      </c>
      <c r="BR102" s="146">
        <f t="shared" si="178"/>
        <v>0</v>
      </c>
      <c r="BS102" s="146">
        <f t="shared" si="153"/>
        <v>0</v>
      </c>
      <c r="BT102" s="146">
        <f t="shared" si="179"/>
        <v>0</v>
      </c>
      <c r="BU102" s="146">
        <f t="shared" si="154"/>
        <v>0</v>
      </c>
      <c r="BV102" s="146">
        <f t="shared" si="180"/>
        <v>0</v>
      </c>
      <c r="BW102" s="146">
        <f t="shared" si="155"/>
        <v>0</v>
      </c>
      <c r="BX102" s="146">
        <f t="shared" si="181"/>
        <v>0</v>
      </c>
      <c r="BY102" s="146">
        <f t="shared" si="156"/>
        <v>0</v>
      </c>
      <c r="BZ102" s="146">
        <f t="shared" si="182"/>
        <v>0</v>
      </c>
      <c r="CA102" s="146">
        <v>97</v>
      </c>
      <c r="CB102" s="147">
        <v>67556</v>
      </c>
      <c r="CC102" s="147">
        <f t="shared" si="158"/>
        <v>15350</v>
      </c>
      <c r="CD102" s="148">
        <f t="shared" si="159"/>
        <v>0.22721889987565871</v>
      </c>
      <c r="CE102" s="146">
        <v>3.1</v>
      </c>
      <c r="CF102" s="147">
        <v>145594</v>
      </c>
      <c r="CG102" s="147">
        <f t="shared" si="160"/>
        <v>30428</v>
      </c>
      <c r="CH102" s="149">
        <f t="shared" si="161"/>
        <v>0.20899212879651635</v>
      </c>
      <c r="CI102" s="146">
        <v>3.2</v>
      </c>
      <c r="CJ102" s="146">
        <v>97</v>
      </c>
      <c r="CK102" s="146">
        <v>2.3199999999999998</v>
      </c>
      <c r="CL102" s="146">
        <v>2.39</v>
      </c>
    </row>
    <row r="103" spans="2:102" s="146" customFormat="1" ht="14.5" x14ac:dyDescent="0.35">
      <c r="D103" s="146">
        <f>SUM(D78:D100)</f>
        <v>15</v>
      </c>
      <c r="E103" s="146">
        <f>SUM(E78:E100)</f>
        <v>14</v>
      </c>
      <c r="H103" s="152">
        <f>K8/E103</f>
        <v>62142.857142857145</v>
      </c>
      <c r="I103" s="155"/>
      <c r="K103" s="146">
        <f>SUM(K78:K100)</f>
        <v>810000000</v>
      </c>
      <c r="M103" s="146">
        <f ca="1">SUM(M78:M100)</f>
        <v>822170474.89261436</v>
      </c>
      <c r="O103" s="146">
        <f>SUM(O78:O100)</f>
        <v>0</v>
      </c>
      <c r="Q103" s="146">
        <f>SUM(Q78:Q97)</f>
        <v>0</v>
      </c>
      <c r="R103" s="146">
        <f>SUM(R78:R97)</f>
        <v>0</v>
      </c>
      <c r="T103" s="146" t="e">
        <f ca="1">+Q103*$AF$80</f>
        <v>#REF!</v>
      </c>
      <c r="U103" s="146" t="e">
        <f ca="1">+R103*$AF$80</f>
        <v>#REF!</v>
      </c>
      <c r="W103" s="154" t="e">
        <f ca="1">+T103+AI102</f>
        <v>#REF!</v>
      </c>
      <c r="Z103" s="146">
        <f t="shared" si="183"/>
        <v>0</v>
      </c>
      <c r="AA103" s="146">
        <f t="shared" ca="1" si="184"/>
        <v>0</v>
      </c>
      <c r="AB103" s="146">
        <f t="shared" si="185"/>
        <v>50000000</v>
      </c>
      <c r="AC103" s="146">
        <f t="shared" ca="1" si="186"/>
        <v>50000000</v>
      </c>
      <c r="AD103" s="146" t="str">
        <f t="shared" ca="1" si="191"/>
        <v/>
      </c>
      <c r="AE103" s="146" t="str">
        <f t="shared" ca="1" si="187"/>
        <v/>
      </c>
      <c r="AF103" s="146" t="str">
        <f t="shared" si="188"/>
        <v/>
      </c>
      <c r="AG103" s="146" t="str">
        <f t="shared" si="189"/>
        <v/>
      </c>
      <c r="AH103" s="146" t="str">
        <f t="shared" si="192"/>
        <v/>
      </c>
      <c r="AK103" s="146">
        <f t="shared" si="136"/>
        <v>0</v>
      </c>
      <c r="AL103" s="146">
        <f t="shared" si="162"/>
        <v>0</v>
      </c>
      <c r="AM103" s="146">
        <f t="shared" si="137"/>
        <v>0</v>
      </c>
      <c r="AN103" s="146">
        <f t="shared" si="163"/>
        <v>0</v>
      </c>
      <c r="AO103" s="146">
        <f t="shared" si="138"/>
        <v>0</v>
      </c>
      <c r="AP103" s="146">
        <f t="shared" si="164"/>
        <v>0</v>
      </c>
      <c r="AQ103" s="146">
        <f t="shared" si="139"/>
        <v>0</v>
      </c>
      <c r="AR103" s="146">
        <f t="shared" si="165"/>
        <v>0</v>
      </c>
      <c r="AS103" s="146">
        <f t="shared" si="140"/>
        <v>0</v>
      </c>
      <c r="AT103" s="146">
        <f t="shared" si="166"/>
        <v>0</v>
      </c>
      <c r="AU103" s="146">
        <f t="shared" si="141"/>
        <v>0</v>
      </c>
      <c r="AV103" s="146">
        <f t="shared" si="167"/>
        <v>0</v>
      </c>
      <c r="AW103" s="146">
        <f t="shared" si="142"/>
        <v>0</v>
      </c>
      <c r="AX103" s="146">
        <f t="shared" si="168"/>
        <v>0</v>
      </c>
      <c r="AY103" s="146">
        <f t="shared" si="143"/>
        <v>0</v>
      </c>
      <c r="AZ103" s="146">
        <f t="shared" si="169"/>
        <v>0</v>
      </c>
      <c r="BA103" s="146">
        <f t="shared" si="144"/>
        <v>0</v>
      </c>
      <c r="BB103" s="146">
        <f t="shared" si="170"/>
        <v>0</v>
      </c>
      <c r="BC103" s="146">
        <f t="shared" si="145"/>
        <v>0</v>
      </c>
      <c r="BD103" s="146">
        <f t="shared" si="171"/>
        <v>0</v>
      </c>
      <c r="BE103" s="146">
        <f t="shared" si="146"/>
        <v>0</v>
      </c>
      <c r="BF103" s="146">
        <f t="shared" si="172"/>
        <v>0</v>
      </c>
      <c r="BG103" s="146">
        <f t="shared" si="147"/>
        <v>0</v>
      </c>
      <c r="BH103" s="146">
        <f t="shared" si="173"/>
        <v>0</v>
      </c>
      <c r="BI103" s="146">
        <f t="shared" si="148"/>
        <v>0</v>
      </c>
      <c r="BJ103" s="146">
        <f t="shared" si="174"/>
        <v>0</v>
      </c>
      <c r="BK103" s="146">
        <f t="shared" si="149"/>
        <v>0</v>
      </c>
      <c r="BL103" s="146">
        <f t="shared" si="175"/>
        <v>0</v>
      </c>
      <c r="BM103" s="146">
        <f t="shared" si="150"/>
        <v>0</v>
      </c>
      <c r="BN103" s="146">
        <f t="shared" si="176"/>
        <v>0</v>
      </c>
      <c r="BO103" s="146">
        <f t="shared" si="151"/>
        <v>0</v>
      </c>
      <c r="BP103" s="146">
        <f t="shared" si="177"/>
        <v>0</v>
      </c>
      <c r="BQ103" s="146">
        <f t="shared" si="152"/>
        <v>0</v>
      </c>
      <c r="BR103" s="146">
        <f t="shared" si="178"/>
        <v>0</v>
      </c>
      <c r="BS103" s="146">
        <f t="shared" si="153"/>
        <v>0</v>
      </c>
      <c r="BT103" s="146">
        <f t="shared" si="179"/>
        <v>0</v>
      </c>
      <c r="BU103" s="146">
        <f t="shared" si="154"/>
        <v>0</v>
      </c>
      <c r="BV103" s="146">
        <f t="shared" si="180"/>
        <v>0</v>
      </c>
      <c r="BW103" s="146">
        <f t="shared" si="155"/>
        <v>0</v>
      </c>
      <c r="BX103" s="146">
        <f t="shared" si="181"/>
        <v>0</v>
      </c>
      <c r="BY103" s="146">
        <f t="shared" si="156"/>
        <v>0</v>
      </c>
      <c r="BZ103" s="146">
        <f t="shared" si="182"/>
        <v>0</v>
      </c>
      <c r="CA103" s="146">
        <v>98</v>
      </c>
      <c r="CB103" s="147">
        <v>52206</v>
      </c>
      <c r="CC103" s="147">
        <f t="shared" si="158"/>
        <v>12921</v>
      </c>
      <c r="CD103" s="148">
        <f t="shared" si="159"/>
        <v>0.24750028732329618</v>
      </c>
      <c r="CE103" s="146">
        <v>2.9</v>
      </c>
      <c r="CF103" s="147">
        <v>115166</v>
      </c>
      <c r="CG103" s="147">
        <f t="shared" si="160"/>
        <v>26728</v>
      </c>
      <c r="CH103" s="149">
        <f t="shared" si="161"/>
        <v>0.23208238542625428</v>
      </c>
      <c r="CI103" s="146">
        <v>3</v>
      </c>
      <c r="CJ103" s="146">
        <v>98</v>
      </c>
      <c r="CK103" s="146">
        <v>2.17</v>
      </c>
      <c r="CL103" s="146">
        <v>2.21</v>
      </c>
    </row>
    <row r="104" spans="2:102" s="123" customFormat="1" ht="14.5" x14ac:dyDescent="0.35">
      <c r="B104" s="67"/>
      <c r="C104" s="67"/>
      <c r="D104" s="67"/>
      <c r="E104" s="67"/>
      <c r="F104" s="67"/>
      <c r="G104" s="67"/>
      <c r="H104" s="67"/>
      <c r="I104" s="67"/>
      <c r="J104" s="67"/>
      <c r="K104" s="67"/>
      <c r="L104" s="67"/>
      <c r="M104" s="67"/>
      <c r="N104" s="67"/>
      <c r="O104" s="67"/>
      <c r="P104" s="146"/>
      <c r="Q104" s="146"/>
      <c r="R104" s="146"/>
      <c r="S104" s="146"/>
      <c r="T104" s="146"/>
      <c r="U104" s="146"/>
      <c r="V104" s="146"/>
      <c r="W104" s="146"/>
      <c r="X104" s="146"/>
      <c r="Y104" s="146"/>
      <c r="Z104" s="146">
        <f t="shared" si="183"/>
        <v>0</v>
      </c>
      <c r="AA104" s="146">
        <f t="shared" ca="1" si="184"/>
        <v>0</v>
      </c>
      <c r="AB104" s="146">
        <f t="shared" si="185"/>
        <v>35000000</v>
      </c>
      <c r="AC104" s="146">
        <f t="shared" ca="1" si="186"/>
        <v>35000000</v>
      </c>
      <c r="AD104" s="146" t="str">
        <f t="shared" ca="1" si="191"/>
        <v/>
      </c>
      <c r="AE104" s="146" t="str">
        <f t="shared" ca="1" si="187"/>
        <v/>
      </c>
      <c r="AF104" s="146" t="str">
        <f t="shared" si="188"/>
        <v/>
      </c>
      <c r="AG104" s="146" t="str">
        <f t="shared" si="189"/>
        <v/>
      </c>
      <c r="AH104" s="146" t="str">
        <f t="shared" si="192"/>
        <v/>
      </c>
      <c r="AI104" s="146"/>
      <c r="AJ104" s="146"/>
      <c r="AK104" s="146">
        <f t="shared" si="136"/>
        <v>0</v>
      </c>
      <c r="AL104" s="146">
        <f t="shared" si="162"/>
        <v>0</v>
      </c>
      <c r="AM104" s="146">
        <f t="shared" si="137"/>
        <v>0</v>
      </c>
      <c r="AN104" s="146">
        <f t="shared" si="163"/>
        <v>0</v>
      </c>
      <c r="AO104" s="146">
        <f t="shared" si="138"/>
        <v>0</v>
      </c>
      <c r="AP104" s="146">
        <f t="shared" si="164"/>
        <v>0</v>
      </c>
      <c r="AQ104" s="146">
        <f t="shared" si="139"/>
        <v>0</v>
      </c>
      <c r="AR104" s="146">
        <f t="shared" si="165"/>
        <v>0</v>
      </c>
      <c r="AS104" s="146">
        <f t="shared" si="140"/>
        <v>0</v>
      </c>
      <c r="AT104" s="146">
        <f t="shared" si="166"/>
        <v>0</v>
      </c>
      <c r="AU104" s="146">
        <f t="shared" si="141"/>
        <v>0</v>
      </c>
      <c r="AV104" s="146">
        <f t="shared" si="167"/>
        <v>0</v>
      </c>
      <c r="AW104" s="146">
        <f t="shared" si="142"/>
        <v>0</v>
      </c>
      <c r="AX104" s="146">
        <f t="shared" si="168"/>
        <v>0</v>
      </c>
      <c r="AY104" s="146">
        <f t="shared" si="143"/>
        <v>0</v>
      </c>
      <c r="AZ104" s="146">
        <f t="shared" si="169"/>
        <v>0</v>
      </c>
      <c r="BA104" s="146">
        <f t="shared" si="144"/>
        <v>0</v>
      </c>
      <c r="BB104" s="146">
        <f t="shared" si="170"/>
        <v>0</v>
      </c>
      <c r="BC104" s="146">
        <f t="shared" si="145"/>
        <v>0</v>
      </c>
      <c r="BD104" s="146">
        <f t="shared" si="171"/>
        <v>0</v>
      </c>
      <c r="BE104" s="146">
        <f t="shared" si="146"/>
        <v>0</v>
      </c>
      <c r="BF104" s="146">
        <f t="shared" si="172"/>
        <v>0</v>
      </c>
      <c r="BG104" s="146">
        <f t="shared" si="147"/>
        <v>0</v>
      </c>
      <c r="BH104" s="146">
        <f t="shared" si="173"/>
        <v>0</v>
      </c>
      <c r="BI104" s="146">
        <f t="shared" si="148"/>
        <v>0</v>
      </c>
      <c r="BJ104" s="146">
        <f t="shared" si="174"/>
        <v>0</v>
      </c>
      <c r="BK104" s="146">
        <f t="shared" si="149"/>
        <v>0</v>
      </c>
      <c r="BL104" s="146">
        <f t="shared" si="175"/>
        <v>0</v>
      </c>
      <c r="BM104" s="146">
        <f t="shared" si="150"/>
        <v>0</v>
      </c>
      <c r="BN104" s="67">
        <f t="shared" si="176"/>
        <v>0</v>
      </c>
      <c r="BO104" s="67">
        <f t="shared" si="151"/>
        <v>0</v>
      </c>
      <c r="BP104" s="67">
        <f t="shared" si="177"/>
        <v>0</v>
      </c>
      <c r="BQ104" s="67">
        <f t="shared" si="152"/>
        <v>0</v>
      </c>
      <c r="BR104" s="67">
        <f t="shared" si="178"/>
        <v>0</v>
      </c>
      <c r="BS104" s="67">
        <f t="shared" si="153"/>
        <v>0</v>
      </c>
      <c r="BT104" s="67">
        <f t="shared" si="179"/>
        <v>0</v>
      </c>
      <c r="BU104" s="67">
        <f t="shared" si="154"/>
        <v>0</v>
      </c>
      <c r="BV104" s="67">
        <f t="shared" si="180"/>
        <v>0</v>
      </c>
      <c r="BW104" s="67">
        <f t="shared" si="155"/>
        <v>0</v>
      </c>
      <c r="BX104" s="67">
        <f t="shared" si="181"/>
        <v>0</v>
      </c>
      <c r="BY104" s="67">
        <f t="shared" si="156"/>
        <v>0</v>
      </c>
      <c r="BZ104" s="67">
        <f t="shared" si="182"/>
        <v>0</v>
      </c>
      <c r="CA104" s="67">
        <v>99</v>
      </c>
      <c r="CB104" s="68">
        <v>39285</v>
      </c>
      <c r="CC104" s="68">
        <f t="shared" si="158"/>
        <v>10597</v>
      </c>
      <c r="CD104" s="69">
        <f t="shared" si="159"/>
        <v>0.26974672266768485</v>
      </c>
      <c r="CE104" s="67">
        <v>2.6</v>
      </c>
      <c r="CF104" s="68">
        <v>88438</v>
      </c>
      <c r="CG104" s="68">
        <f t="shared" si="160"/>
        <v>22719</v>
      </c>
      <c r="CH104" s="70">
        <f t="shared" si="161"/>
        <v>0.25689183382708791</v>
      </c>
      <c r="CI104" s="67">
        <v>2.7</v>
      </c>
      <c r="CJ104" s="67">
        <v>99</v>
      </c>
      <c r="CK104" s="67">
        <v>2.02</v>
      </c>
      <c r="CL104" s="67">
        <v>2.04</v>
      </c>
      <c r="CM104" s="67"/>
      <c r="CN104" s="67"/>
      <c r="CO104" s="67"/>
      <c r="CP104" s="67"/>
      <c r="CQ104" s="67"/>
      <c r="CR104" s="67"/>
      <c r="CS104" s="67"/>
      <c r="CT104" s="67"/>
      <c r="CU104" s="67"/>
      <c r="CV104" s="67"/>
      <c r="CW104" s="67"/>
      <c r="CX104" s="67"/>
    </row>
    <row r="105" spans="2:102" s="123" customFormat="1" ht="14.5" x14ac:dyDescent="0.35">
      <c r="B105" s="67"/>
      <c r="C105" s="67"/>
      <c r="D105" s="67"/>
      <c r="E105" s="67"/>
      <c r="F105" s="67"/>
      <c r="G105" s="67"/>
      <c r="H105" s="67">
        <f>SUM(H78:H100)</f>
        <v>810</v>
      </c>
      <c r="I105" s="67"/>
      <c r="J105" s="67"/>
      <c r="K105" s="67"/>
      <c r="L105" s="67"/>
      <c r="M105" s="67"/>
      <c r="N105" s="67"/>
      <c r="O105" s="67"/>
      <c r="P105" s="146"/>
      <c r="Q105" s="146"/>
      <c r="R105" s="146"/>
      <c r="S105" s="146"/>
      <c r="T105" s="146"/>
      <c r="U105" s="146"/>
      <c r="V105" s="146"/>
      <c r="W105" s="146"/>
      <c r="X105" s="146"/>
      <c r="Y105" s="146"/>
      <c r="Z105" s="146">
        <f t="shared" si="183"/>
        <v>0</v>
      </c>
      <c r="AA105" s="146">
        <f t="shared" ca="1" si="184"/>
        <v>0</v>
      </c>
      <c r="AB105" s="146">
        <f t="shared" si="185"/>
        <v>35000000</v>
      </c>
      <c r="AC105" s="146">
        <f t="shared" ca="1" si="186"/>
        <v>35000000</v>
      </c>
      <c r="AD105" s="146" t="str">
        <f t="shared" ca="1" si="191"/>
        <v/>
      </c>
      <c r="AE105" s="146" t="str">
        <f t="shared" ca="1" si="187"/>
        <v/>
      </c>
      <c r="AF105" s="146" t="str">
        <f t="shared" si="188"/>
        <v/>
      </c>
      <c r="AG105" s="146" t="str">
        <f t="shared" si="189"/>
        <v/>
      </c>
      <c r="AH105" s="146" t="str">
        <f t="shared" si="192"/>
        <v/>
      </c>
      <c r="AI105" s="146"/>
      <c r="AJ105" s="146"/>
      <c r="AK105" s="146">
        <f t="shared" si="136"/>
        <v>0</v>
      </c>
      <c r="AL105" s="146">
        <f t="shared" si="162"/>
        <v>0</v>
      </c>
      <c r="AM105" s="146">
        <f t="shared" si="137"/>
        <v>0</v>
      </c>
      <c r="AN105" s="146">
        <f t="shared" si="163"/>
        <v>0</v>
      </c>
      <c r="AO105" s="146">
        <f t="shared" si="138"/>
        <v>0</v>
      </c>
      <c r="AP105" s="146">
        <f t="shared" si="164"/>
        <v>0</v>
      </c>
      <c r="AQ105" s="146">
        <f t="shared" si="139"/>
        <v>0</v>
      </c>
      <c r="AR105" s="146">
        <f t="shared" si="165"/>
        <v>0</v>
      </c>
      <c r="AS105" s="146">
        <f t="shared" si="140"/>
        <v>0</v>
      </c>
      <c r="AT105" s="146">
        <f t="shared" si="166"/>
        <v>0</v>
      </c>
      <c r="AU105" s="146">
        <f t="shared" si="141"/>
        <v>0</v>
      </c>
      <c r="AV105" s="146">
        <f t="shared" si="167"/>
        <v>0</v>
      </c>
      <c r="AW105" s="146">
        <f t="shared" si="142"/>
        <v>0</v>
      </c>
      <c r="AX105" s="146">
        <f t="shared" si="168"/>
        <v>0</v>
      </c>
      <c r="AY105" s="146">
        <f t="shared" si="143"/>
        <v>0</v>
      </c>
      <c r="AZ105" s="146">
        <f t="shared" si="169"/>
        <v>0</v>
      </c>
      <c r="BA105" s="146">
        <f t="shared" si="144"/>
        <v>0</v>
      </c>
      <c r="BB105" s="146">
        <f t="shared" si="170"/>
        <v>0</v>
      </c>
      <c r="BC105" s="146">
        <f t="shared" si="145"/>
        <v>0</v>
      </c>
      <c r="BD105" s="146">
        <f t="shared" si="171"/>
        <v>0</v>
      </c>
      <c r="BE105" s="146">
        <f t="shared" si="146"/>
        <v>0</v>
      </c>
      <c r="BF105" s="146">
        <f t="shared" si="172"/>
        <v>0</v>
      </c>
      <c r="BG105" s="146">
        <f t="shared" si="147"/>
        <v>0</v>
      </c>
      <c r="BH105" s="146">
        <f t="shared" si="173"/>
        <v>0</v>
      </c>
      <c r="BI105" s="146">
        <f t="shared" si="148"/>
        <v>0</v>
      </c>
      <c r="BJ105" s="146">
        <f t="shared" si="174"/>
        <v>0</v>
      </c>
      <c r="BK105" s="146">
        <f t="shared" si="149"/>
        <v>0</v>
      </c>
      <c r="BL105" s="146">
        <f t="shared" si="175"/>
        <v>0</v>
      </c>
      <c r="BM105" s="146">
        <f t="shared" si="150"/>
        <v>0</v>
      </c>
      <c r="BN105" s="67">
        <f t="shared" si="176"/>
        <v>0</v>
      </c>
      <c r="BO105" s="67">
        <f t="shared" si="151"/>
        <v>0</v>
      </c>
      <c r="BP105" s="67">
        <f t="shared" si="177"/>
        <v>0</v>
      </c>
      <c r="BQ105" s="67">
        <f t="shared" si="152"/>
        <v>0</v>
      </c>
      <c r="BR105" s="67">
        <f t="shared" si="178"/>
        <v>0</v>
      </c>
      <c r="BS105" s="67">
        <f t="shared" si="153"/>
        <v>0</v>
      </c>
      <c r="BT105" s="67">
        <f t="shared" si="179"/>
        <v>0</v>
      </c>
      <c r="BU105" s="67">
        <f t="shared" si="154"/>
        <v>0</v>
      </c>
      <c r="BV105" s="67">
        <f t="shared" si="180"/>
        <v>0</v>
      </c>
      <c r="BW105" s="67">
        <f t="shared" si="155"/>
        <v>0</v>
      </c>
      <c r="BX105" s="67">
        <f t="shared" si="181"/>
        <v>0</v>
      </c>
      <c r="BY105" s="67">
        <f t="shared" si="156"/>
        <v>0</v>
      </c>
      <c r="BZ105" s="67">
        <f t="shared" si="182"/>
        <v>0</v>
      </c>
      <c r="CA105" s="67">
        <v>100</v>
      </c>
      <c r="CB105" s="68">
        <v>28688</v>
      </c>
      <c r="CC105" s="68">
        <f t="shared" si="158"/>
        <v>8433</v>
      </c>
      <c r="CD105" s="69">
        <f t="shared" si="159"/>
        <v>0.29395566090351366</v>
      </c>
      <c r="CE105" s="67">
        <v>2.4</v>
      </c>
      <c r="CF105" s="68">
        <v>65719</v>
      </c>
      <c r="CG105" s="68">
        <f t="shared" si="160"/>
        <v>18627</v>
      </c>
      <c r="CH105" s="70">
        <f t="shared" si="161"/>
        <v>0.28343401451634992</v>
      </c>
      <c r="CI105" s="67">
        <v>2.5</v>
      </c>
      <c r="CJ105" s="67">
        <v>100</v>
      </c>
      <c r="CK105" s="67">
        <v>1.89</v>
      </c>
      <c r="CL105" s="67">
        <v>1.88</v>
      </c>
      <c r="CM105" s="67"/>
      <c r="CN105" s="67"/>
      <c r="CO105" s="67"/>
      <c r="CP105" s="67"/>
      <c r="CQ105" s="67"/>
      <c r="CR105" s="67"/>
      <c r="CS105" s="67"/>
      <c r="CT105" s="67"/>
      <c r="CU105" s="67"/>
      <c r="CV105" s="67"/>
      <c r="CW105" s="67"/>
      <c r="CX105" s="67"/>
    </row>
    <row r="106" spans="2:102" s="123" customFormat="1" ht="14.5" x14ac:dyDescent="0.35">
      <c r="B106" s="67"/>
      <c r="C106" s="67"/>
      <c r="D106" s="67"/>
      <c r="E106" s="67"/>
      <c r="F106" s="67"/>
      <c r="G106" s="67"/>
      <c r="H106" s="67"/>
      <c r="I106" s="67"/>
      <c r="J106" s="67"/>
      <c r="K106" s="67"/>
      <c r="L106" s="67"/>
      <c r="M106" s="67"/>
      <c r="N106" s="67"/>
      <c r="O106" s="67"/>
      <c r="P106" s="146"/>
      <c r="Q106" s="146"/>
      <c r="R106" s="146"/>
      <c r="S106" s="146"/>
      <c r="T106" s="146"/>
      <c r="U106" s="146"/>
      <c r="V106" s="146"/>
      <c r="W106" s="146"/>
      <c r="X106" s="146"/>
      <c r="Y106" s="146"/>
      <c r="Z106" s="146" t="str">
        <f t="shared" si="183"/>
        <v/>
      </c>
      <c r="AA106" s="146" t="str">
        <f t="shared" ca="1" si="184"/>
        <v/>
      </c>
      <c r="AB106" s="146">
        <f t="shared" si="185"/>
        <v>35000000</v>
      </c>
      <c r="AC106" s="146">
        <f t="shared" ca="1" si="186"/>
        <v>35000000</v>
      </c>
      <c r="AD106" s="146" t="str">
        <f t="shared" ca="1" si="191"/>
        <v/>
      </c>
      <c r="AE106" s="146" t="str">
        <f t="shared" ca="1" si="187"/>
        <v/>
      </c>
      <c r="AF106" s="146" t="str">
        <f t="shared" si="188"/>
        <v/>
      </c>
      <c r="AG106" s="146" t="str">
        <f t="shared" si="189"/>
        <v/>
      </c>
      <c r="AH106" s="146" t="str">
        <f t="shared" si="192"/>
        <v/>
      </c>
      <c r="AI106" s="146"/>
      <c r="AJ106" s="146"/>
      <c r="AK106" s="146">
        <f t="shared" si="136"/>
        <v>0</v>
      </c>
      <c r="AL106" s="146">
        <f t="shared" si="162"/>
        <v>0</v>
      </c>
      <c r="AM106" s="146">
        <f t="shared" si="137"/>
        <v>0</v>
      </c>
      <c r="AN106" s="146">
        <f t="shared" si="163"/>
        <v>0</v>
      </c>
      <c r="AO106" s="146">
        <f t="shared" si="138"/>
        <v>0</v>
      </c>
      <c r="AP106" s="146">
        <f t="shared" si="164"/>
        <v>0</v>
      </c>
      <c r="AQ106" s="146">
        <f t="shared" si="139"/>
        <v>0</v>
      </c>
      <c r="AR106" s="146">
        <f t="shared" si="165"/>
        <v>0</v>
      </c>
      <c r="AS106" s="146">
        <f t="shared" si="140"/>
        <v>0</v>
      </c>
      <c r="AT106" s="146">
        <f t="shared" si="166"/>
        <v>0</v>
      </c>
      <c r="AU106" s="146">
        <f t="shared" si="141"/>
        <v>0</v>
      </c>
      <c r="AV106" s="146">
        <f t="shared" si="167"/>
        <v>0</v>
      </c>
      <c r="AW106" s="146">
        <f t="shared" si="142"/>
        <v>0</v>
      </c>
      <c r="AX106" s="146">
        <f t="shared" si="168"/>
        <v>0</v>
      </c>
      <c r="AY106" s="146">
        <f t="shared" si="143"/>
        <v>0</v>
      </c>
      <c r="AZ106" s="146">
        <f t="shared" si="169"/>
        <v>0</v>
      </c>
      <c r="BA106" s="146">
        <f t="shared" si="144"/>
        <v>0</v>
      </c>
      <c r="BB106" s="146">
        <f t="shared" si="170"/>
        <v>0</v>
      </c>
      <c r="BC106" s="146">
        <f t="shared" si="145"/>
        <v>0</v>
      </c>
      <c r="BD106" s="146">
        <f t="shared" si="171"/>
        <v>0</v>
      </c>
      <c r="BE106" s="146">
        <f t="shared" si="146"/>
        <v>0</v>
      </c>
      <c r="BF106" s="146">
        <f t="shared" si="172"/>
        <v>0</v>
      </c>
      <c r="BG106" s="146">
        <f t="shared" si="147"/>
        <v>0</v>
      </c>
      <c r="BH106" s="146">
        <f t="shared" si="173"/>
        <v>0</v>
      </c>
      <c r="BI106" s="146">
        <f t="shared" si="148"/>
        <v>0</v>
      </c>
      <c r="BJ106" s="146">
        <f t="shared" si="174"/>
        <v>0</v>
      </c>
      <c r="BK106" s="146">
        <f t="shared" si="149"/>
        <v>0</v>
      </c>
      <c r="BL106" s="146">
        <f t="shared" si="175"/>
        <v>0</v>
      </c>
      <c r="BM106" s="146">
        <f t="shared" si="150"/>
        <v>0</v>
      </c>
      <c r="BN106" s="67">
        <f t="shared" si="176"/>
        <v>0</v>
      </c>
      <c r="BO106" s="67">
        <f t="shared" si="151"/>
        <v>0</v>
      </c>
      <c r="BP106" s="67">
        <f t="shared" si="177"/>
        <v>0</v>
      </c>
      <c r="BQ106" s="67">
        <f t="shared" si="152"/>
        <v>0</v>
      </c>
      <c r="BR106" s="67">
        <f t="shared" si="178"/>
        <v>0</v>
      </c>
      <c r="BS106" s="67">
        <f t="shared" si="153"/>
        <v>0</v>
      </c>
      <c r="BT106" s="67">
        <f t="shared" si="179"/>
        <v>0</v>
      </c>
      <c r="BU106" s="67">
        <f t="shared" si="154"/>
        <v>0</v>
      </c>
      <c r="BV106" s="67">
        <f t="shared" si="180"/>
        <v>0</v>
      </c>
      <c r="BW106" s="67">
        <f t="shared" si="155"/>
        <v>0</v>
      </c>
      <c r="BX106" s="67">
        <f t="shared" si="181"/>
        <v>0</v>
      </c>
      <c r="BY106" s="67">
        <f t="shared" si="156"/>
        <v>0</v>
      </c>
      <c r="BZ106" s="67">
        <f t="shared" si="182"/>
        <v>0</v>
      </c>
      <c r="CA106" s="67">
        <v>101</v>
      </c>
      <c r="CB106" s="68">
        <v>20255</v>
      </c>
      <c r="CC106" s="68">
        <f t="shared" si="158"/>
        <v>6484</v>
      </c>
      <c r="CD106" s="69">
        <f t="shared" si="159"/>
        <v>0.32011848926191067</v>
      </c>
      <c r="CE106" s="67">
        <v>2.2000000000000002</v>
      </c>
      <c r="CF106" s="68">
        <v>47092</v>
      </c>
      <c r="CG106" s="68">
        <f t="shared" si="160"/>
        <v>14679</v>
      </c>
      <c r="CH106" s="70">
        <f t="shared" si="161"/>
        <v>0.31170899515841333</v>
      </c>
      <c r="CI106" s="67">
        <v>2.2999999999999998</v>
      </c>
      <c r="CJ106" s="67">
        <v>101</v>
      </c>
      <c r="CK106" s="67">
        <v>1.76</v>
      </c>
      <c r="CL106" s="67">
        <v>1.74</v>
      </c>
      <c r="CM106" s="67"/>
      <c r="CN106" s="67"/>
      <c r="CO106" s="67"/>
      <c r="CP106" s="67"/>
      <c r="CQ106" s="67"/>
      <c r="CR106" s="67"/>
      <c r="CS106" s="67"/>
      <c r="CT106" s="67"/>
      <c r="CU106" s="67"/>
      <c r="CV106" s="67"/>
      <c r="CW106" s="67"/>
      <c r="CX106" s="67"/>
    </row>
    <row r="107" spans="2:102" s="123" customFormat="1" ht="14.5" x14ac:dyDescent="0.35">
      <c r="B107" s="67"/>
      <c r="C107" s="67"/>
      <c r="D107" s="67"/>
      <c r="E107" s="67"/>
      <c r="F107" s="67"/>
      <c r="G107" s="67"/>
      <c r="H107" s="67"/>
      <c r="I107" s="67"/>
      <c r="J107" s="67"/>
      <c r="K107" s="67"/>
      <c r="L107" s="67"/>
      <c r="M107" s="67"/>
      <c r="N107" s="67"/>
      <c r="O107" s="67"/>
      <c r="P107" s="146"/>
      <c r="Q107" s="146"/>
      <c r="R107" s="146"/>
      <c r="S107" s="146"/>
      <c r="T107" s="146"/>
      <c r="U107" s="146"/>
      <c r="V107" s="146"/>
      <c r="W107" s="146"/>
      <c r="X107" s="146"/>
      <c r="Y107" s="146"/>
      <c r="Z107" s="146" t="str">
        <f t="shared" si="183"/>
        <v/>
      </c>
      <c r="AA107" s="146" t="str">
        <f t="shared" ca="1" si="184"/>
        <v/>
      </c>
      <c r="AB107" s="146">
        <f t="shared" si="185"/>
        <v>35000000</v>
      </c>
      <c r="AC107" s="146">
        <f t="shared" ca="1" si="186"/>
        <v>35000000</v>
      </c>
      <c r="AD107" s="146" t="str">
        <f t="shared" ca="1" si="191"/>
        <v/>
      </c>
      <c r="AE107" s="146" t="str">
        <f t="shared" ca="1" si="187"/>
        <v/>
      </c>
      <c r="AF107" s="146" t="str">
        <f t="shared" si="188"/>
        <v/>
      </c>
      <c r="AG107" s="146" t="str">
        <f t="shared" si="189"/>
        <v/>
      </c>
      <c r="AH107" s="146" t="str">
        <f t="shared" si="192"/>
        <v/>
      </c>
      <c r="AI107" s="146"/>
      <c r="AJ107" s="146"/>
      <c r="AK107" s="146">
        <f t="shared" si="136"/>
        <v>0</v>
      </c>
      <c r="AL107" s="146">
        <f t="shared" si="162"/>
        <v>0</v>
      </c>
      <c r="AM107" s="146">
        <f t="shared" si="137"/>
        <v>0</v>
      </c>
      <c r="AN107" s="146">
        <f t="shared" si="163"/>
        <v>0</v>
      </c>
      <c r="AO107" s="146">
        <f t="shared" si="138"/>
        <v>0</v>
      </c>
      <c r="AP107" s="146">
        <f t="shared" si="164"/>
        <v>0</v>
      </c>
      <c r="AQ107" s="146">
        <f t="shared" si="139"/>
        <v>0</v>
      </c>
      <c r="AR107" s="146">
        <f t="shared" si="165"/>
        <v>0</v>
      </c>
      <c r="AS107" s="146">
        <f t="shared" si="140"/>
        <v>0</v>
      </c>
      <c r="AT107" s="146">
        <f t="shared" si="166"/>
        <v>0</v>
      </c>
      <c r="AU107" s="146">
        <f t="shared" si="141"/>
        <v>0</v>
      </c>
      <c r="AV107" s="146">
        <f t="shared" si="167"/>
        <v>0</v>
      </c>
      <c r="AW107" s="146">
        <f t="shared" si="142"/>
        <v>0</v>
      </c>
      <c r="AX107" s="146">
        <f t="shared" si="168"/>
        <v>0</v>
      </c>
      <c r="AY107" s="146">
        <f t="shared" si="143"/>
        <v>0</v>
      </c>
      <c r="AZ107" s="146">
        <f t="shared" si="169"/>
        <v>0</v>
      </c>
      <c r="BA107" s="146">
        <f t="shared" si="144"/>
        <v>0</v>
      </c>
      <c r="BB107" s="146">
        <f t="shared" si="170"/>
        <v>0</v>
      </c>
      <c r="BC107" s="146">
        <f t="shared" si="145"/>
        <v>0</v>
      </c>
      <c r="BD107" s="146">
        <f t="shared" si="171"/>
        <v>0</v>
      </c>
      <c r="BE107" s="146">
        <f t="shared" si="146"/>
        <v>0</v>
      </c>
      <c r="BF107" s="146">
        <f t="shared" si="172"/>
        <v>0</v>
      </c>
      <c r="BG107" s="146">
        <f t="shared" si="147"/>
        <v>0</v>
      </c>
      <c r="BH107" s="146">
        <f t="shared" si="173"/>
        <v>0</v>
      </c>
      <c r="BI107" s="146">
        <f t="shared" si="148"/>
        <v>0</v>
      </c>
      <c r="BJ107" s="146">
        <f t="shared" si="174"/>
        <v>0</v>
      </c>
      <c r="BK107" s="146">
        <f t="shared" si="149"/>
        <v>0</v>
      </c>
      <c r="BL107" s="146">
        <f t="shared" si="175"/>
        <v>0</v>
      </c>
      <c r="BM107" s="146">
        <f t="shared" si="150"/>
        <v>0</v>
      </c>
      <c r="BN107" s="67">
        <f t="shared" si="176"/>
        <v>0</v>
      </c>
      <c r="BO107" s="67">
        <f t="shared" si="151"/>
        <v>0</v>
      </c>
      <c r="BP107" s="67">
        <f t="shared" si="177"/>
        <v>0</v>
      </c>
      <c r="BQ107" s="67">
        <f t="shared" si="152"/>
        <v>0</v>
      </c>
      <c r="BR107" s="67">
        <f t="shared" si="178"/>
        <v>0</v>
      </c>
      <c r="BS107" s="67">
        <f t="shared" si="153"/>
        <v>0</v>
      </c>
      <c r="BT107" s="67">
        <f t="shared" si="179"/>
        <v>0</v>
      </c>
      <c r="BU107" s="67">
        <f t="shared" si="154"/>
        <v>0</v>
      </c>
      <c r="BV107" s="67">
        <f t="shared" si="180"/>
        <v>0</v>
      </c>
      <c r="BW107" s="67">
        <f t="shared" si="155"/>
        <v>0</v>
      </c>
      <c r="BX107" s="67">
        <f t="shared" si="181"/>
        <v>0</v>
      </c>
      <c r="BY107" s="67">
        <f t="shared" si="156"/>
        <v>0</v>
      </c>
      <c r="BZ107" s="67">
        <f t="shared" si="182"/>
        <v>0</v>
      </c>
      <c r="CA107" s="67">
        <v>102</v>
      </c>
      <c r="CB107" s="68">
        <v>13771</v>
      </c>
      <c r="CC107" s="68">
        <f t="shared" si="158"/>
        <v>4796</v>
      </c>
      <c r="CD107" s="69">
        <f t="shared" si="159"/>
        <v>0.34826809962965655</v>
      </c>
      <c r="CE107" s="67">
        <v>2.1</v>
      </c>
      <c r="CF107" s="68">
        <v>32413</v>
      </c>
      <c r="CG107" s="68">
        <f t="shared" si="160"/>
        <v>11075</v>
      </c>
      <c r="CH107" s="70">
        <f t="shared" si="161"/>
        <v>0.34168389226544904</v>
      </c>
      <c r="CI107" s="67">
        <v>2.1</v>
      </c>
      <c r="CJ107" s="67">
        <v>102</v>
      </c>
      <c r="CK107" s="67">
        <v>1.65</v>
      </c>
      <c r="CL107" s="67">
        <v>1.61</v>
      </c>
      <c r="CM107" s="67"/>
      <c r="CN107" s="67"/>
      <c r="CO107" s="67"/>
      <c r="CP107" s="67"/>
      <c r="CQ107" s="67"/>
      <c r="CR107" s="67"/>
      <c r="CS107" s="67"/>
      <c r="CT107" s="67"/>
      <c r="CU107" s="67"/>
      <c r="CV107" s="67"/>
      <c r="CW107" s="67"/>
      <c r="CX107" s="67"/>
    </row>
    <row r="108" spans="2:102" s="123" customFormat="1" ht="16" x14ac:dyDescent="0.45">
      <c r="B108" s="67"/>
      <c r="C108" s="67"/>
      <c r="D108" s="67"/>
      <c r="E108" s="67"/>
      <c r="F108" s="67"/>
      <c r="G108" s="67"/>
      <c r="H108" s="67"/>
      <c r="I108" s="67"/>
      <c r="J108" s="67"/>
      <c r="K108" s="67"/>
      <c r="L108" s="67"/>
      <c r="M108" s="67"/>
      <c r="N108" s="67"/>
      <c r="O108" s="67"/>
      <c r="P108" s="146"/>
      <c r="Q108" s="146"/>
      <c r="R108" s="146"/>
      <c r="S108" s="146"/>
      <c r="T108" s="146"/>
      <c r="U108" s="146"/>
      <c r="V108" s="146"/>
      <c r="W108" s="178" t="s">
        <v>120</v>
      </c>
      <c r="X108" s="146"/>
      <c r="Y108" s="146"/>
      <c r="Z108" s="146" t="str">
        <f t="shared" si="183"/>
        <v/>
      </c>
      <c r="AA108" s="146" t="str">
        <f t="shared" ca="1" si="184"/>
        <v/>
      </c>
      <c r="AB108" s="146">
        <f t="shared" si="185"/>
        <v>35000000</v>
      </c>
      <c r="AC108" s="146">
        <f t="shared" ca="1" si="186"/>
        <v>35000000</v>
      </c>
      <c r="AD108" s="146" t="str">
        <f t="shared" ca="1" si="191"/>
        <v/>
      </c>
      <c r="AE108" s="146" t="str">
        <f t="shared" ca="1" si="187"/>
        <v/>
      </c>
      <c r="AF108" s="146" t="str">
        <f t="shared" si="188"/>
        <v/>
      </c>
      <c r="AG108" s="146" t="str">
        <f t="shared" si="189"/>
        <v/>
      </c>
      <c r="AH108" s="146" t="str">
        <f t="shared" si="192"/>
        <v/>
      </c>
      <c r="AI108" s="146"/>
      <c r="AJ108" s="146"/>
      <c r="AK108" s="146">
        <f t="shared" si="136"/>
        <v>0</v>
      </c>
      <c r="AL108" s="146">
        <f t="shared" si="162"/>
        <v>0</v>
      </c>
      <c r="AM108" s="146">
        <f t="shared" si="137"/>
        <v>0</v>
      </c>
      <c r="AN108" s="146">
        <f t="shared" si="163"/>
        <v>0</v>
      </c>
      <c r="AO108" s="146">
        <f t="shared" si="138"/>
        <v>0</v>
      </c>
      <c r="AP108" s="146">
        <f t="shared" si="164"/>
        <v>0</v>
      </c>
      <c r="AQ108" s="146">
        <f t="shared" si="139"/>
        <v>0</v>
      </c>
      <c r="AR108" s="146">
        <f t="shared" si="165"/>
        <v>0</v>
      </c>
      <c r="AS108" s="146">
        <f t="shared" si="140"/>
        <v>0</v>
      </c>
      <c r="AT108" s="146">
        <f t="shared" si="166"/>
        <v>0</v>
      </c>
      <c r="AU108" s="146">
        <f t="shared" si="141"/>
        <v>0</v>
      </c>
      <c r="AV108" s="146">
        <f t="shared" si="167"/>
        <v>0</v>
      </c>
      <c r="AW108" s="146">
        <f t="shared" si="142"/>
        <v>0</v>
      </c>
      <c r="AX108" s="146">
        <f t="shared" si="168"/>
        <v>0</v>
      </c>
      <c r="AY108" s="146">
        <f t="shared" si="143"/>
        <v>0</v>
      </c>
      <c r="AZ108" s="146">
        <f t="shared" si="169"/>
        <v>0</v>
      </c>
      <c r="BA108" s="146">
        <f t="shared" si="144"/>
        <v>0</v>
      </c>
      <c r="BB108" s="146">
        <f t="shared" si="170"/>
        <v>0</v>
      </c>
      <c r="BC108" s="146">
        <f t="shared" si="145"/>
        <v>0</v>
      </c>
      <c r="BD108" s="146">
        <f t="shared" si="171"/>
        <v>0</v>
      </c>
      <c r="BE108" s="146">
        <f t="shared" si="146"/>
        <v>0</v>
      </c>
      <c r="BF108" s="146">
        <f t="shared" si="172"/>
        <v>0</v>
      </c>
      <c r="BG108" s="146">
        <f t="shared" si="147"/>
        <v>0</v>
      </c>
      <c r="BH108" s="146">
        <f t="shared" si="173"/>
        <v>0</v>
      </c>
      <c r="BI108" s="146">
        <f t="shared" si="148"/>
        <v>0</v>
      </c>
      <c r="BJ108" s="146">
        <f t="shared" si="174"/>
        <v>0</v>
      </c>
      <c r="BK108" s="146">
        <f t="shared" si="149"/>
        <v>0</v>
      </c>
      <c r="BL108" s="146">
        <f t="shared" si="175"/>
        <v>0</v>
      </c>
      <c r="BM108" s="146">
        <f t="shared" si="150"/>
        <v>0</v>
      </c>
      <c r="BN108" s="67">
        <f t="shared" si="176"/>
        <v>0</v>
      </c>
      <c r="BO108" s="67">
        <f t="shared" si="151"/>
        <v>0</v>
      </c>
      <c r="BP108" s="67">
        <f t="shared" si="177"/>
        <v>0</v>
      </c>
      <c r="BQ108" s="67">
        <f t="shared" si="152"/>
        <v>0</v>
      </c>
      <c r="BR108" s="67">
        <f t="shared" si="178"/>
        <v>0</v>
      </c>
      <c r="BS108" s="67">
        <f t="shared" si="153"/>
        <v>0</v>
      </c>
      <c r="BT108" s="67">
        <f t="shared" si="179"/>
        <v>0</v>
      </c>
      <c r="BU108" s="67">
        <f t="shared" si="154"/>
        <v>0</v>
      </c>
      <c r="BV108" s="67">
        <f t="shared" si="180"/>
        <v>0</v>
      </c>
      <c r="BW108" s="67">
        <f t="shared" si="155"/>
        <v>0</v>
      </c>
      <c r="BX108" s="67">
        <f t="shared" si="181"/>
        <v>0</v>
      </c>
      <c r="BY108" s="67">
        <f t="shared" si="156"/>
        <v>0</v>
      </c>
      <c r="BZ108" s="67">
        <f t="shared" si="182"/>
        <v>0</v>
      </c>
      <c r="CA108" s="67">
        <v>103</v>
      </c>
      <c r="CB108" s="68">
        <v>8975</v>
      </c>
      <c r="CC108" s="68">
        <f t="shared" si="158"/>
        <v>3395</v>
      </c>
      <c r="CD108" s="69">
        <f t="shared" si="159"/>
        <v>0.37827298050139274</v>
      </c>
      <c r="CE108" s="67">
        <v>1.9</v>
      </c>
      <c r="CF108" s="68">
        <v>21338</v>
      </c>
      <c r="CG108" s="68">
        <f t="shared" si="160"/>
        <v>7968</v>
      </c>
      <c r="CH108" s="70">
        <f t="shared" si="161"/>
        <v>0.37341831474364984</v>
      </c>
      <c r="CI108" s="67">
        <v>1.9</v>
      </c>
      <c r="CJ108" s="67">
        <v>103</v>
      </c>
      <c r="CK108" s="67">
        <v>1.54</v>
      </c>
      <c r="CL108" s="67">
        <v>1.49</v>
      </c>
      <c r="CM108" s="67"/>
      <c r="CN108" s="67"/>
      <c r="CO108" s="67"/>
      <c r="CP108" s="67"/>
      <c r="CQ108" s="67"/>
      <c r="CR108" s="67"/>
      <c r="CS108" s="67"/>
      <c r="CT108" s="67"/>
      <c r="CU108" s="67"/>
      <c r="CV108" s="67"/>
      <c r="CW108" s="67"/>
      <c r="CX108" s="67"/>
    </row>
    <row r="109" spans="2:102" s="123" customFormat="1" ht="16" x14ac:dyDescent="0.45">
      <c r="B109" s="67"/>
      <c r="C109" s="67"/>
      <c r="D109" s="67"/>
      <c r="E109" s="67"/>
      <c r="F109" s="67"/>
      <c r="G109" s="67"/>
      <c r="H109" s="67"/>
      <c r="I109" s="67"/>
      <c r="J109" s="67"/>
      <c r="K109" s="67"/>
      <c r="L109" s="67"/>
      <c r="M109" s="67"/>
      <c r="N109" s="67"/>
      <c r="O109" s="67"/>
      <c r="P109" s="146"/>
      <c r="Q109" s="146"/>
      <c r="R109" s="146"/>
      <c r="S109" s="146"/>
      <c r="T109" s="146"/>
      <c r="U109" s="146"/>
      <c r="V109" s="146"/>
      <c r="W109" s="178" t="s">
        <v>134</v>
      </c>
      <c r="X109" s="146"/>
      <c r="Y109" s="146"/>
      <c r="Z109" s="146" t="str">
        <f t="shared" si="183"/>
        <v/>
      </c>
      <c r="AA109" s="146" t="str">
        <f t="shared" ca="1" si="184"/>
        <v/>
      </c>
      <c r="AB109" s="146">
        <f t="shared" si="185"/>
        <v>35000000</v>
      </c>
      <c r="AC109" s="146">
        <f t="shared" ca="1" si="186"/>
        <v>35000000</v>
      </c>
      <c r="AD109" s="146" t="str">
        <f t="shared" ca="1" si="191"/>
        <v/>
      </c>
      <c r="AE109" s="146" t="str">
        <f t="shared" ca="1" si="187"/>
        <v/>
      </c>
      <c r="AF109" s="146" t="str">
        <f t="shared" si="188"/>
        <v/>
      </c>
      <c r="AG109" s="146" t="str">
        <f t="shared" si="189"/>
        <v/>
      </c>
      <c r="AH109" s="146" t="str">
        <f t="shared" si="192"/>
        <v/>
      </c>
      <c r="AI109" s="146"/>
      <c r="AJ109" s="146"/>
      <c r="AK109" s="146">
        <f t="shared" si="136"/>
        <v>0</v>
      </c>
      <c r="AL109" s="146">
        <f t="shared" si="162"/>
        <v>0</v>
      </c>
      <c r="AM109" s="146">
        <f t="shared" si="137"/>
        <v>0</v>
      </c>
      <c r="AN109" s="146">
        <f t="shared" si="163"/>
        <v>0</v>
      </c>
      <c r="AO109" s="146">
        <f t="shared" si="138"/>
        <v>0</v>
      </c>
      <c r="AP109" s="146">
        <f t="shared" si="164"/>
        <v>0</v>
      </c>
      <c r="AQ109" s="146">
        <f t="shared" si="139"/>
        <v>0</v>
      </c>
      <c r="AR109" s="146">
        <f t="shared" si="165"/>
        <v>0</v>
      </c>
      <c r="AS109" s="146">
        <f t="shared" si="140"/>
        <v>0</v>
      </c>
      <c r="AT109" s="146">
        <f t="shared" si="166"/>
        <v>0</v>
      </c>
      <c r="AU109" s="146">
        <f t="shared" si="141"/>
        <v>0</v>
      </c>
      <c r="AV109" s="146">
        <f t="shared" si="167"/>
        <v>0</v>
      </c>
      <c r="AW109" s="146">
        <f t="shared" si="142"/>
        <v>0</v>
      </c>
      <c r="AX109" s="146">
        <f t="shared" si="168"/>
        <v>0</v>
      </c>
      <c r="AY109" s="146">
        <f t="shared" si="143"/>
        <v>0</v>
      </c>
      <c r="AZ109" s="146">
        <f t="shared" si="169"/>
        <v>0</v>
      </c>
      <c r="BA109" s="146">
        <f t="shared" si="144"/>
        <v>0</v>
      </c>
      <c r="BB109" s="146">
        <f t="shared" si="170"/>
        <v>0</v>
      </c>
      <c r="BC109" s="146">
        <f t="shared" si="145"/>
        <v>0</v>
      </c>
      <c r="BD109" s="146">
        <f t="shared" si="171"/>
        <v>0</v>
      </c>
      <c r="BE109" s="146">
        <f t="shared" si="146"/>
        <v>0</v>
      </c>
      <c r="BF109" s="146">
        <f t="shared" si="172"/>
        <v>0</v>
      </c>
      <c r="BG109" s="146">
        <f t="shared" si="147"/>
        <v>0</v>
      </c>
      <c r="BH109" s="146">
        <f t="shared" si="173"/>
        <v>0</v>
      </c>
      <c r="BI109" s="146">
        <f t="shared" si="148"/>
        <v>0</v>
      </c>
      <c r="BJ109" s="146">
        <f t="shared" si="174"/>
        <v>0</v>
      </c>
      <c r="BK109" s="146">
        <f t="shared" si="149"/>
        <v>0</v>
      </c>
      <c r="BL109" s="146">
        <f t="shared" si="175"/>
        <v>0</v>
      </c>
      <c r="BM109" s="146">
        <f t="shared" si="150"/>
        <v>0</v>
      </c>
      <c r="BN109" s="67">
        <f t="shared" si="176"/>
        <v>0</v>
      </c>
      <c r="BO109" s="67">
        <f t="shared" si="151"/>
        <v>0</v>
      </c>
      <c r="BP109" s="67">
        <f t="shared" si="177"/>
        <v>0</v>
      </c>
      <c r="BQ109" s="67">
        <f t="shared" si="152"/>
        <v>0</v>
      </c>
      <c r="BR109" s="67">
        <f t="shared" si="178"/>
        <v>0</v>
      </c>
      <c r="BS109" s="67">
        <f t="shared" si="153"/>
        <v>0</v>
      </c>
      <c r="BT109" s="67">
        <f t="shared" si="179"/>
        <v>0</v>
      </c>
      <c r="BU109" s="67">
        <f t="shared" si="154"/>
        <v>0</v>
      </c>
      <c r="BV109" s="67">
        <f t="shared" si="180"/>
        <v>0</v>
      </c>
      <c r="BW109" s="67">
        <f t="shared" si="155"/>
        <v>0</v>
      </c>
      <c r="BX109" s="67">
        <f t="shared" si="181"/>
        <v>0</v>
      </c>
      <c r="BY109" s="67">
        <f t="shared" si="156"/>
        <v>0</v>
      </c>
      <c r="BZ109" s="67">
        <f t="shared" si="182"/>
        <v>0</v>
      </c>
      <c r="CA109" s="67">
        <v>104</v>
      </c>
      <c r="CB109" s="68">
        <v>5580</v>
      </c>
      <c r="CC109" s="68">
        <f t="shared" si="158"/>
        <v>2290</v>
      </c>
      <c r="CD109" s="69">
        <f t="shared" si="159"/>
        <v>0.4103942652329749</v>
      </c>
      <c r="CE109" s="67">
        <v>1.7</v>
      </c>
      <c r="CF109" s="68">
        <v>13370</v>
      </c>
      <c r="CG109" s="68">
        <f t="shared" si="160"/>
        <v>5440</v>
      </c>
      <c r="CH109" s="70">
        <f t="shared" si="161"/>
        <v>0.40688107703814508</v>
      </c>
      <c r="CI109" s="67">
        <v>1.7</v>
      </c>
      <c r="CJ109" s="67">
        <v>104</v>
      </c>
      <c r="CK109" s="67">
        <v>1.43</v>
      </c>
      <c r="CL109" s="67">
        <v>1.37</v>
      </c>
      <c r="CM109" s="67"/>
      <c r="CN109" s="67"/>
      <c r="CO109" s="67"/>
      <c r="CP109" s="67"/>
      <c r="CQ109" s="67"/>
      <c r="CR109" s="67"/>
      <c r="CS109" s="67"/>
      <c r="CT109" s="67"/>
      <c r="CU109" s="67"/>
      <c r="CV109" s="67"/>
      <c r="CW109" s="67"/>
      <c r="CX109" s="67"/>
    </row>
    <row r="110" spans="2:102" s="123" customFormat="1" ht="14.5" x14ac:dyDescent="0.35">
      <c r="B110" s="67"/>
      <c r="C110" s="67"/>
      <c r="D110" s="67"/>
      <c r="E110" s="67"/>
      <c r="F110" s="67"/>
      <c r="G110" s="67"/>
      <c r="H110" s="67"/>
      <c r="I110" s="67"/>
      <c r="J110" s="67"/>
      <c r="K110" s="67"/>
      <c r="L110" s="67"/>
      <c r="M110" s="67"/>
      <c r="N110" s="67"/>
      <c r="O110" s="67"/>
      <c r="P110" s="146"/>
      <c r="Q110" s="146"/>
      <c r="R110" s="146"/>
      <c r="S110" s="146"/>
      <c r="T110" s="146"/>
      <c r="U110" s="146"/>
      <c r="V110" s="146"/>
      <c r="W110" s="146"/>
      <c r="X110" s="146"/>
      <c r="Y110" s="146"/>
      <c r="Z110" s="146" t="str">
        <f t="shared" si="183"/>
        <v/>
      </c>
      <c r="AA110" s="146" t="str">
        <f t="shared" ca="1" si="184"/>
        <v/>
      </c>
      <c r="AB110" s="146" t="str">
        <f t="shared" si="185"/>
        <v/>
      </c>
      <c r="AC110" s="146" t="str">
        <f t="shared" ca="1" si="186"/>
        <v/>
      </c>
      <c r="AD110" s="146" t="str">
        <f t="shared" ca="1" si="191"/>
        <v/>
      </c>
      <c r="AE110" s="146" t="str">
        <f t="shared" ca="1" si="187"/>
        <v/>
      </c>
      <c r="AF110" s="146" t="str">
        <f t="shared" si="188"/>
        <v/>
      </c>
      <c r="AG110" s="146" t="str">
        <f t="shared" si="189"/>
        <v/>
      </c>
      <c r="AH110" s="146" t="str">
        <f t="shared" si="192"/>
        <v/>
      </c>
      <c r="AI110" s="146"/>
      <c r="AJ110" s="146"/>
      <c r="AK110" s="146">
        <f t="shared" si="136"/>
        <v>0</v>
      </c>
      <c r="AL110" s="146">
        <f t="shared" si="162"/>
        <v>0</v>
      </c>
      <c r="AM110" s="146">
        <f t="shared" si="137"/>
        <v>0</v>
      </c>
      <c r="AN110" s="146">
        <f t="shared" si="163"/>
        <v>0</v>
      </c>
      <c r="AO110" s="146">
        <f t="shared" si="138"/>
        <v>0</v>
      </c>
      <c r="AP110" s="146">
        <f t="shared" si="164"/>
        <v>0</v>
      </c>
      <c r="AQ110" s="146">
        <f t="shared" si="139"/>
        <v>0</v>
      </c>
      <c r="AR110" s="146">
        <f t="shared" si="165"/>
        <v>0</v>
      </c>
      <c r="AS110" s="146">
        <f t="shared" si="140"/>
        <v>0</v>
      </c>
      <c r="AT110" s="146">
        <f t="shared" si="166"/>
        <v>0</v>
      </c>
      <c r="AU110" s="146">
        <f t="shared" si="141"/>
        <v>0</v>
      </c>
      <c r="AV110" s="146">
        <f t="shared" si="167"/>
        <v>0</v>
      </c>
      <c r="AW110" s="146">
        <f t="shared" si="142"/>
        <v>0</v>
      </c>
      <c r="AX110" s="146">
        <f t="shared" si="168"/>
        <v>0</v>
      </c>
      <c r="AY110" s="146">
        <f t="shared" si="143"/>
        <v>0</v>
      </c>
      <c r="AZ110" s="146">
        <f t="shared" si="169"/>
        <v>0</v>
      </c>
      <c r="BA110" s="146">
        <f t="shared" si="144"/>
        <v>0</v>
      </c>
      <c r="BB110" s="146">
        <f t="shared" si="170"/>
        <v>0</v>
      </c>
      <c r="BC110" s="146">
        <f t="shared" si="145"/>
        <v>0</v>
      </c>
      <c r="BD110" s="146">
        <f t="shared" si="171"/>
        <v>0</v>
      </c>
      <c r="BE110" s="146">
        <f t="shared" si="146"/>
        <v>0</v>
      </c>
      <c r="BF110" s="146">
        <f t="shared" si="172"/>
        <v>0</v>
      </c>
      <c r="BG110" s="146">
        <f t="shared" si="147"/>
        <v>0</v>
      </c>
      <c r="BH110" s="146">
        <f t="shared" si="173"/>
        <v>0</v>
      </c>
      <c r="BI110" s="146">
        <f t="shared" si="148"/>
        <v>0</v>
      </c>
      <c r="BJ110" s="146">
        <f t="shared" si="174"/>
        <v>0</v>
      </c>
      <c r="BK110" s="146">
        <f t="shared" si="149"/>
        <v>0</v>
      </c>
      <c r="BL110" s="146">
        <f t="shared" si="175"/>
        <v>0</v>
      </c>
      <c r="BM110" s="146">
        <f t="shared" si="150"/>
        <v>0</v>
      </c>
      <c r="BN110" s="67">
        <f t="shared" si="176"/>
        <v>0</v>
      </c>
      <c r="BO110" s="67">
        <f t="shared" si="151"/>
        <v>0</v>
      </c>
      <c r="BP110" s="67">
        <f t="shared" si="177"/>
        <v>0</v>
      </c>
      <c r="BQ110" s="67">
        <f t="shared" si="152"/>
        <v>0</v>
      </c>
      <c r="BR110" s="67">
        <f t="shared" si="178"/>
        <v>0</v>
      </c>
      <c r="BS110" s="67">
        <f t="shared" si="153"/>
        <v>0</v>
      </c>
      <c r="BT110" s="67">
        <f t="shared" si="179"/>
        <v>0</v>
      </c>
      <c r="BU110" s="67">
        <f t="shared" si="154"/>
        <v>0</v>
      </c>
      <c r="BV110" s="67">
        <f t="shared" si="180"/>
        <v>0</v>
      </c>
      <c r="BW110" s="67">
        <f t="shared" si="155"/>
        <v>0</v>
      </c>
      <c r="BX110" s="67">
        <f t="shared" si="181"/>
        <v>0</v>
      </c>
      <c r="BY110" s="67">
        <f t="shared" si="156"/>
        <v>0</v>
      </c>
      <c r="BZ110" s="67">
        <f t="shared" si="182"/>
        <v>0</v>
      </c>
      <c r="CA110" s="67">
        <v>105</v>
      </c>
      <c r="CB110" s="68">
        <v>3290</v>
      </c>
      <c r="CC110" s="68">
        <f>+CB110-CB114</f>
        <v>1462</v>
      </c>
      <c r="CD110" s="69">
        <f t="shared" si="159"/>
        <v>0.44437689969604866</v>
      </c>
      <c r="CE110" s="67">
        <v>1.6</v>
      </c>
      <c r="CF110" s="68">
        <v>7930</v>
      </c>
      <c r="CG110" s="68">
        <f>+CF110-CF114</f>
        <v>3505</v>
      </c>
      <c r="CH110" s="70">
        <f t="shared" si="161"/>
        <v>0.44199243379571246</v>
      </c>
      <c r="CI110" s="67">
        <v>1.6</v>
      </c>
      <c r="CJ110" s="67">
        <v>105</v>
      </c>
      <c r="CK110" s="67">
        <v>1.34</v>
      </c>
      <c r="CL110" s="67">
        <v>1.27</v>
      </c>
      <c r="CM110" s="67"/>
      <c r="CN110" s="67"/>
      <c r="CO110" s="67"/>
      <c r="CP110" s="67"/>
      <c r="CQ110" s="67"/>
      <c r="CR110" s="67"/>
      <c r="CS110" s="67"/>
      <c r="CT110" s="67"/>
      <c r="CU110" s="67"/>
      <c r="CV110" s="67"/>
      <c r="CW110" s="67"/>
      <c r="CX110" s="67"/>
    </row>
    <row r="111" spans="2:102" s="123" customFormat="1" ht="14.5" x14ac:dyDescent="0.35">
      <c r="B111" s="67"/>
      <c r="C111" s="67"/>
      <c r="D111" s="67"/>
      <c r="E111" s="67"/>
      <c r="F111" s="67"/>
      <c r="G111" s="67" t="str">
        <f t="shared" ref="G111:G118" ca="1" si="193">AD95</f>
        <v/>
      </c>
      <c r="H111" s="67"/>
      <c r="I111" s="67"/>
      <c r="J111" s="67"/>
      <c r="K111" s="67" t="str">
        <f t="shared" ref="K111:K118" si="194">AF95</f>
        <v/>
      </c>
      <c r="L111" s="67"/>
      <c r="M111" s="67" t="str">
        <f t="shared" ref="M111:M118" si="195">AG95</f>
        <v/>
      </c>
      <c r="N111" s="67"/>
      <c r="O111" s="67" t="str">
        <f t="shared" ref="O111:O118" si="196">AH99</f>
        <v/>
      </c>
      <c r="P111" s="146"/>
      <c r="Q111" s="146" t="str">
        <f t="shared" ref="Q111:Q118" ca="1" si="197">IF(G111="","",IF(ISERR(G111)=TRUE,"",IF(G111&lt;0,"",IF(G111=0,G111,IF(AI81&lt;AA91,AI81,AA91)))))</f>
        <v/>
      </c>
      <c r="R111" s="146" t="str">
        <f t="shared" ref="R111:R118" si="198">IF(K111="","",IF(ISERR(K111)=TRUE,"",IF(K111&lt;=0,"",IF(T78&lt;($AF$80*AB95*$E$12/100),T78,(AB95*$AF$80*$E$12/100)))))</f>
        <v/>
      </c>
      <c r="S111" s="146" t="str">
        <f t="shared" ref="S111:S118" si="199">IF(ISERR(R111)=TRUE,"",IF(ISERR(R111/$M$67)=TRUE,"",R111*100/$M$67))</f>
        <v/>
      </c>
      <c r="T111" s="146" t="str">
        <f t="shared" ref="T111:T160" ca="1" si="200">IF(ISERR(Q111+R111)=TRUE,"",Q111+R111)</f>
        <v/>
      </c>
      <c r="U111" s="146"/>
      <c r="V111" s="146"/>
      <c r="W111" s="146"/>
      <c r="X111" s="146"/>
      <c r="Y111" s="146"/>
      <c r="Z111" s="146" t="str">
        <f t="shared" si="183"/>
        <v/>
      </c>
      <c r="AA111" s="146" t="str">
        <f t="shared" ca="1" si="184"/>
        <v/>
      </c>
      <c r="AB111" s="146" t="str">
        <f t="shared" si="185"/>
        <v/>
      </c>
      <c r="AC111" s="146" t="str">
        <f t="shared" ca="1" si="186"/>
        <v/>
      </c>
      <c r="AD111" s="146" t="str">
        <f t="shared" ca="1" si="191"/>
        <v/>
      </c>
      <c r="AE111" s="146" t="str">
        <f t="shared" ca="1" si="187"/>
        <v/>
      </c>
      <c r="AF111" s="146" t="str">
        <f t="shared" si="188"/>
        <v/>
      </c>
      <c r="AG111" s="146" t="str">
        <f t="shared" si="189"/>
        <v/>
      </c>
      <c r="AH111" s="146" t="str">
        <f t="shared" si="192"/>
        <v/>
      </c>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67"/>
      <c r="BO111" s="67"/>
      <c r="BP111" s="67"/>
      <c r="BQ111" s="67"/>
      <c r="BR111" s="67"/>
      <c r="BS111" s="67"/>
      <c r="BT111" s="67"/>
      <c r="BU111" s="67"/>
      <c r="BV111" s="67"/>
      <c r="BW111" s="67"/>
      <c r="BX111" s="67"/>
      <c r="BY111" s="67"/>
      <c r="BZ111" s="67"/>
      <c r="CA111" s="67"/>
      <c r="CB111" s="68"/>
      <c r="CC111" s="68"/>
      <c r="CD111" s="69"/>
      <c r="CE111" s="67"/>
      <c r="CF111" s="68"/>
      <c r="CG111" s="68"/>
      <c r="CH111" s="70"/>
      <c r="CI111" s="67"/>
      <c r="CJ111" s="67"/>
      <c r="CK111" s="67"/>
      <c r="CL111" s="67"/>
      <c r="CM111" s="67"/>
      <c r="CN111" s="67"/>
      <c r="CO111" s="67"/>
      <c r="CP111" s="67"/>
      <c r="CQ111" s="67"/>
      <c r="CR111" s="67"/>
      <c r="CS111" s="67"/>
      <c r="CT111" s="67"/>
      <c r="CU111" s="67"/>
      <c r="CV111" s="67"/>
      <c r="CW111" s="67"/>
      <c r="CX111" s="67"/>
    </row>
    <row r="112" spans="2:102" s="123" customFormat="1" ht="14.5" x14ac:dyDescent="0.35">
      <c r="B112" s="67"/>
      <c r="C112" s="67"/>
      <c r="D112" s="67"/>
      <c r="E112" s="67"/>
      <c r="F112" s="67"/>
      <c r="G112" s="67" t="str">
        <f t="shared" ca="1" si="193"/>
        <v/>
      </c>
      <c r="H112" s="67"/>
      <c r="I112" s="67"/>
      <c r="J112" s="67"/>
      <c r="K112" s="67" t="str">
        <f t="shared" si="194"/>
        <v/>
      </c>
      <c r="L112" s="67"/>
      <c r="M112" s="67" t="str">
        <f t="shared" si="195"/>
        <v/>
      </c>
      <c r="N112" s="67"/>
      <c r="O112" s="67" t="str">
        <f t="shared" si="196"/>
        <v/>
      </c>
      <c r="P112" s="146"/>
      <c r="Q112" s="146" t="str">
        <f t="shared" ca="1" si="197"/>
        <v/>
      </c>
      <c r="R112" s="146" t="str">
        <f t="shared" si="198"/>
        <v/>
      </c>
      <c r="S112" s="146" t="str">
        <f t="shared" si="199"/>
        <v/>
      </c>
      <c r="T112" s="146" t="str">
        <f t="shared" ca="1" si="200"/>
        <v/>
      </c>
      <c r="U112" s="146"/>
      <c r="V112" s="146"/>
      <c r="W112" s="146"/>
      <c r="X112" s="146"/>
      <c r="Y112" s="146"/>
      <c r="Z112" s="146" t="str">
        <f t="shared" si="183"/>
        <v/>
      </c>
      <c r="AA112" s="146" t="str">
        <f t="shared" ca="1" si="184"/>
        <v/>
      </c>
      <c r="AB112" s="146" t="str">
        <f t="shared" si="185"/>
        <v/>
      </c>
      <c r="AC112" s="146" t="str">
        <f t="shared" ca="1" si="186"/>
        <v/>
      </c>
      <c r="AD112" s="146" t="str">
        <f t="shared" ca="1" si="191"/>
        <v/>
      </c>
      <c r="AE112" s="146" t="str">
        <f t="shared" ca="1" si="187"/>
        <v/>
      </c>
      <c r="AF112" s="146" t="str">
        <f t="shared" si="188"/>
        <v/>
      </c>
      <c r="AG112" s="146" t="str">
        <f t="shared" si="189"/>
        <v/>
      </c>
      <c r="AH112" s="146" t="str">
        <f t="shared" si="192"/>
        <v/>
      </c>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67"/>
      <c r="BO112" s="67"/>
      <c r="BP112" s="67"/>
      <c r="BQ112" s="67"/>
      <c r="BR112" s="67"/>
      <c r="BS112" s="67"/>
      <c r="BT112" s="67"/>
      <c r="BU112" s="67"/>
      <c r="BV112" s="67"/>
      <c r="BW112" s="67"/>
      <c r="BX112" s="67"/>
      <c r="BY112" s="67"/>
      <c r="BZ112" s="67"/>
      <c r="CA112" s="67"/>
      <c r="CB112" s="68"/>
      <c r="CC112" s="68"/>
      <c r="CD112" s="69"/>
      <c r="CE112" s="67"/>
      <c r="CF112" s="68"/>
      <c r="CG112" s="68"/>
      <c r="CH112" s="70"/>
      <c r="CI112" s="67"/>
      <c r="CJ112" s="67"/>
      <c r="CK112" s="67"/>
      <c r="CL112" s="67"/>
      <c r="CM112" s="67"/>
      <c r="CN112" s="67"/>
      <c r="CO112" s="67"/>
      <c r="CP112" s="67"/>
      <c r="CQ112" s="67"/>
      <c r="CR112" s="67"/>
      <c r="CS112" s="67"/>
      <c r="CT112" s="67"/>
      <c r="CU112" s="67"/>
      <c r="CV112" s="67"/>
      <c r="CW112" s="67"/>
      <c r="CX112" s="67"/>
    </row>
    <row r="113" spans="2:102" s="123" customFormat="1" ht="14.5" x14ac:dyDescent="0.35">
      <c r="B113" s="67"/>
      <c r="C113" s="67"/>
      <c r="D113" s="67"/>
      <c r="E113" s="67"/>
      <c r="F113" s="67"/>
      <c r="G113" s="67" t="str">
        <f t="shared" ca="1" si="193"/>
        <v/>
      </c>
      <c r="H113" s="67"/>
      <c r="I113" s="67"/>
      <c r="J113" s="67"/>
      <c r="K113" s="67" t="str">
        <f t="shared" si="194"/>
        <v/>
      </c>
      <c r="L113" s="67"/>
      <c r="M113" s="67" t="str">
        <f t="shared" si="195"/>
        <v/>
      </c>
      <c r="N113" s="67"/>
      <c r="O113" s="67" t="str">
        <f t="shared" si="196"/>
        <v/>
      </c>
      <c r="P113" s="146"/>
      <c r="Q113" s="146" t="str">
        <f t="shared" ca="1" si="197"/>
        <v/>
      </c>
      <c r="R113" s="146" t="str">
        <f t="shared" si="198"/>
        <v/>
      </c>
      <c r="S113" s="146" t="str">
        <f t="shared" si="199"/>
        <v/>
      </c>
      <c r="T113" s="146" t="str">
        <f t="shared" ca="1" si="200"/>
        <v/>
      </c>
      <c r="U113" s="146"/>
      <c r="V113" s="146"/>
      <c r="W113" s="146"/>
      <c r="X113" s="146"/>
      <c r="Y113" s="146"/>
      <c r="Z113" s="146" t="str">
        <f t="shared" si="183"/>
        <v/>
      </c>
      <c r="AA113" s="146" t="str">
        <f t="shared" ca="1" si="184"/>
        <v/>
      </c>
      <c r="AB113" s="146" t="str">
        <f t="shared" si="185"/>
        <v/>
      </c>
      <c r="AC113" s="146" t="str">
        <f t="shared" ca="1" si="186"/>
        <v/>
      </c>
      <c r="AD113" s="146" t="str">
        <f t="shared" ca="1" si="191"/>
        <v/>
      </c>
      <c r="AE113" s="146" t="str">
        <f t="shared" ca="1" si="187"/>
        <v/>
      </c>
      <c r="AF113" s="146" t="str">
        <f t="shared" si="188"/>
        <v/>
      </c>
      <c r="AG113" s="146" t="str">
        <f t="shared" si="189"/>
        <v/>
      </c>
      <c r="AH113" s="146" t="str">
        <f t="shared" si="192"/>
        <v/>
      </c>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67"/>
      <c r="BO113" s="67"/>
      <c r="BP113" s="67"/>
      <c r="BQ113" s="67"/>
      <c r="BR113" s="67"/>
      <c r="BS113" s="67"/>
      <c r="BT113" s="67"/>
      <c r="BU113" s="67"/>
      <c r="BV113" s="67"/>
      <c r="BW113" s="67"/>
      <c r="BX113" s="67"/>
      <c r="BY113" s="67"/>
      <c r="BZ113" s="67"/>
      <c r="CA113" s="67"/>
      <c r="CB113" s="68"/>
      <c r="CC113" s="68"/>
      <c r="CD113" s="69"/>
      <c r="CE113" s="67"/>
      <c r="CF113" s="68"/>
      <c r="CG113" s="68"/>
      <c r="CH113" s="70"/>
      <c r="CI113" s="67"/>
      <c r="CJ113" s="67"/>
      <c r="CK113" s="67"/>
      <c r="CL113" s="67"/>
      <c r="CM113" s="67"/>
      <c r="CN113" s="67"/>
      <c r="CO113" s="67"/>
      <c r="CP113" s="67"/>
      <c r="CQ113" s="67"/>
      <c r="CR113" s="67"/>
      <c r="CS113" s="67"/>
      <c r="CT113" s="67"/>
      <c r="CU113" s="67"/>
      <c r="CV113" s="67"/>
      <c r="CW113" s="67"/>
      <c r="CX113" s="67"/>
    </row>
    <row r="114" spans="2:102" s="123" customFormat="1" ht="14.5" x14ac:dyDescent="0.35">
      <c r="B114" s="67"/>
      <c r="C114" s="67"/>
      <c r="D114" s="67"/>
      <c r="E114" s="67"/>
      <c r="F114" s="67"/>
      <c r="G114" s="67" t="str">
        <f t="shared" ca="1" si="193"/>
        <v/>
      </c>
      <c r="H114" s="67"/>
      <c r="I114" s="67"/>
      <c r="J114" s="67"/>
      <c r="K114" s="67" t="str">
        <f t="shared" si="194"/>
        <v/>
      </c>
      <c r="L114" s="67"/>
      <c r="M114" s="67" t="str">
        <f t="shared" si="195"/>
        <v/>
      </c>
      <c r="N114" s="67"/>
      <c r="O114" s="67" t="str">
        <f t="shared" si="196"/>
        <v/>
      </c>
      <c r="P114" s="146"/>
      <c r="Q114" s="146" t="str">
        <f t="shared" ca="1" si="197"/>
        <v/>
      </c>
      <c r="R114" s="146" t="str">
        <f t="shared" si="198"/>
        <v/>
      </c>
      <c r="S114" s="146" t="str">
        <f t="shared" si="199"/>
        <v/>
      </c>
      <c r="T114" s="146" t="str">
        <f t="shared" ca="1" si="200"/>
        <v/>
      </c>
      <c r="U114" s="146"/>
      <c r="V114" s="146"/>
      <c r="W114" s="146"/>
      <c r="X114" s="146"/>
      <c r="Y114" s="146"/>
      <c r="Z114" s="146"/>
      <c r="AA114" s="146" t="str">
        <f>IF(ISERR(AI51)=TRUE,"",IF(AI51&lt;=0,"",AI51))</f>
        <v/>
      </c>
      <c r="AB114" s="146" t="str">
        <f t="shared" si="185"/>
        <v/>
      </c>
      <c r="AC114" s="146" t="str">
        <f t="shared" ca="1" si="186"/>
        <v/>
      </c>
      <c r="AD114" s="146" t="str">
        <f t="shared" ca="1" si="191"/>
        <v/>
      </c>
      <c r="AE114" s="146" t="str">
        <f t="shared" ca="1" si="187"/>
        <v/>
      </c>
      <c r="AF114" s="146" t="str">
        <f t="shared" si="188"/>
        <v/>
      </c>
      <c r="AG114" s="146" t="str">
        <f t="shared" si="189"/>
        <v/>
      </c>
      <c r="AH114" s="146" t="str">
        <f t="shared" si="192"/>
        <v/>
      </c>
      <c r="AI114" s="146"/>
      <c r="AJ114" s="146"/>
      <c r="AK114" s="146">
        <f t="shared" si="136"/>
        <v>0</v>
      </c>
      <c r="AL114" s="146">
        <f t="shared" si="162"/>
        <v>0</v>
      </c>
      <c r="AM114" s="146">
        <f t="shared" si="137"/>
        <v>0</v>
      </c>
      <c r="AN114" s="146">
        <f t="shared" si="163"/>
        <v>0</v>
      </c>
      <c r="AO114" s="146">
        <f t="shared" si="138"/>
        <v>0</v>
      </c>
      <c r="AP114" s="146">
        <f t="shared" si="164"/>
        <v>0</v>
      </c>
      <c r="AQ114" s="146">
        <f t="shared" si="139"/>
        <v>0</v>
      </c>
      <c r="AR114" s="146">
        <f t="shared" si="165"/>
        <v>0</v>
      </c>
      <c r="AS114" s="146">
        <f t="shared" si="140"/>
        <v>0</v>
      </c>
      <c r="AT114" s="146">
        <f t="shared" si="166"/>
        <v>0</v>
      </c>
      <c r="AU114" s="146">
        <f t="shared" si="141"/>
        <v>0</v>
      </c>
      <c r="AV114" s="146">
        <f t="shared" si="167"/>
        <v>0</v>
      </c>
      <c r="AW114" s="146">
        <f t="shared" si="142"/>
        <v>0</v>
      </c>
      <c r="AX114" s="146">
        <f t="shared" si="168"/>
        <v>0</v>
      </c>
      <c r="AY114" s="146">
        <f t="shared" si="143"/>
        <v>0</v>
      </c>
      <c r="AZ114" s="146">
        <f t="shared" si="169"/>
        <v>0</v>
      </c>
      <c r="BA114" s="146">
        <f t="shared" si="144"/>
        <v>0</v>
      </c>
      <c r="BB114" s="146">
        <f t="shared" si="170"/>
        <v>0</v>
      </c>
      <c r="BC114" s="146">
        <f t="shared" si="145"/>
        <v>0</v>
      </c>
      <c r="BD114" s="146">
        <f t="shared" si="171"/>
        <v>0</v>
      </c>
      <c r="BE114" s="146">
        <f t="shared" si="146"/>
        <v>0</v>
      </c>
      <c r="BF114" s="146">
        <f t="shared" si="172"/>
        <v>0</v>
      </c>
      <c r="BG114" s="146">
        <f t="shared" si="147"/>
        <v>0</v>
      </c>
      <c r="BH114" s="146">
        <f t="shared" si="173"/>
        <v>0</v>
      </c>
      <c r="BI114" s="146">
        <f t="shared" si="148"/>
        <v>0</v>
      </c>
      <c r="BJ114" s="146">
        <f t="shared" si="174"/>
        <v>0</v>
      </c>
      <c r="BK114" s="146">
        <f t="shared" si="149"/>
        <v>0</v>
      </c>
      <c r="BL114" s="146">
        <f t="shared" si="175"/>
        <v>0</v>
      </c>
      <c r="BM114" s="146">
        <f t="shared" si="150"/>
        <v>0</v>
      </c>
      <c r="BN114" s="67">
        <f t="shared" si="176"/>
        <v>0</v>
      </c>
      <c r="BO114" s="67">
        <f t="shared" si="151"/>
        <v>0</v>
      </c>
      <c r="BP114" s="67">
        <f t="shared" si="177"/>
        <v>0</v>
      </c>
      <c r="BQ114" s="67">
        <f t="shared" si="152"/>
        <v>0</v>
      </c>
      <c r="BR114" s="67">
        <f t="shared" si="178"/>
        <v>0</v>
      </c>
      <c r="BS114" s="67">
        <f t="shared" si="153"/>
        <v>0</v>
      </c>
      <c r="BT114" s="67">
        <f t="shared" si="179"/>
        <v>0</v>
      </c>
      <c r="BU114" s="67">
        <f t="shared" si="154"/>
        <v>0</v>
      </c>
      <c r="BV114" s="67">
        <f t="shared" si="180"/>
        <v>0</v>
      </c>
      <c r="BW114" s="67">
        <f t="shared" si="155"/>
        <v>0</v>
      </c>
      <c r="BX114" s="67">
        <f t="shared" si="181"/>
        <v>0</v>
      </c>
      <c r="BY114" s="67">
        <f t="shared" si="156"/>
        <v>0</v>
      </c>
      <c r="BZ114" s="67">
        <f t="shared" si="182"/>
        <v>0</v>
      </c>
      <c r="CA114" s="67">
        <v>106</v>
      </c>
      <c r="CB114" s="68">
        <v>1828</v>
      </c>
      <c r="CC114" s="68">
        <f t="shared" si="158"/>
        <v>878</v>
      </c>
      <c r="CD114" s="69">
        <f t="shared" si="159"/>
        <v>0.4803063457330416</v>
      </c>
      <c r="CE114" s="67">
        <v>1.4</v>
      </c>
      <c r="CF114" s="68">
        <v>4425</v>
      </c>
      <c r="CG114" s="68">
        <f t="shared" si="160"/>
        <v>2119</v>
      </c>
      <c r="CH114" s="70">
        <f t="shared" si="161"/>
        <v>0.47887005649717512</v>
      </c>
      <c r="CI114" s="67">
        <v>1.4</v>
      </c>
      <c r="CJ114" s="67">
        <v>106</v>
      </c>
      <c r="CK114" s="67">
        <v>1.26</v>
      </c>
      <c r="CL114" s="67">
        <v>1.1599999999999999</v>
      </c>
      <c r="CM114" s="67"/>
      <c r="CN114" s="67"/>
      <c r="CO114" s="67"/>
      <c r="CP114" s="67"/>
      <c r="CQ114" s="67"/>
      <c r="CR114" s="67"/>
      <c r="CS114" s="67"/>
      <c r="CT114" s="67"/>
      <c r="CU114" s="67"/>
      <c r="CV114" s="67"/>
      <c r="CW114" s="67"/>
      <c r="CX114" s="67"/>
    </row>
    <row r="115" spans="2:102" s="123" customFormat="1" ht="14.5" x14ac:dyDescent="0.35">
      <c r="B115" s="67"/>
      <c r="C115" s="67"/>
      <c r="D115" s="67"/>
      <c r="E115" s="67"/>
      <c r="F115" s="67"/>
      <c r="G115" s="67" t="str">
        <f t="shared" ca="1" si="193"/>
        <v/>
      </c>
      <c r="H115" s="67"/>
      <c r="I115" s="67"/>
      <c r="J115" s="67"/>
      <c r="K115" s="67" t="str">
        <f t="shared" si="194"/>
        <v/>
      </c>
      <c r="L115" s="67"/>
      <c r="M115" s="67" t="str">
        <f t="shared" si="195"/>
        <v/>
      </c>
      <c r="N115" s="67"/>
      <c r="O115" s="67" t="str">
        <f t="shared" si="196"/>
        <v/>
      </c>
      <c r="P115" s="146"/>
      <c r="Q115" s="146" t="str">
        <f t="shared" ca="1" si="197"/>
        <v/>
      </c>
      <c r="R115" s="146" t="str">
        <f t="shared" si="198"/>
        <v/>
      </c>
      <c r="S115" s="146" t="str">
        <f t="shared" si="199"/>
        <v/>
      </c>
      <c r="T115" s="146" t="str">
        <f t="shared" ca="1" si="200"/>
        <v/>
      </c>
      <c r="U115" s="146"/>
      <c r="V115" s="146"/>
      <c r="W115" s="146"/>
      <c r="X115" s="146"/>
      <c r="Y115" s="146"/>
      <c r="Z115" s="146"/>
      <c r="AA115" s="179">
        <f ca="1">IF(ISERR(AI44)=TRUE,"",IF(AI44&lt;=0,"",IF(AI44=1,0,AI44)))</f>
        <v>12170474.8926144</v>
      </c>
      <c r="AB115" s="146" t="str">
        <f t="shared" si="185"/>
        <v/>
      </c>
      <c r="AC115" s="146" t="str">
        <f t="shared" ca="1" si="186"/>
        <v/>
      </c>
      <c r="AD115" s="146"/>
      <c r="AE115" s="146"/>
      <c r="AF115" s="146"/>
      <c r="AG115" s="146"/>
      <c r="AH115" s="146" t="str">
        <f t="shared" si="192"/>
        <v/>
      </c>
      <c r="AI115" s="146"/>
      <c r="AJ115" s="146"/>
      <c r="AK115" s="146">
        <f t="shared" si="136"/>
        <v>0</v>
      </c>
      <c r="AL115" s="146">
        <f t="shared" si="162"/>
        <v>0</v>
      </c>
      <c r="AM115" s="146">
        <f t="shared" si="137"/>
        <v>0</v>
      </c>
      <c r="AN115" s="146">
        <f t="shared" si="163"/>
        <v>0</v>
      </c>
      <c r="AO115" s="146">
        <f t="shared" si="138"/>
        <v>0</v>
      </c>
      <c r="AP115" s="146">
        <f t="shared" si="164"/>
        <v>0</v>
      </c>
      <c r="AQ115" s="146">
        <f t="shared" si="139"/>
        <v>0</v>
      </c>
      <c r="AR115" s="146">
        <f t="shared" si="165"/>
        <v>0</v>
      </c>
      <c r="AS115" s="146">
        <f t="shared" si="140"/>
        <v>0</v>
      </c>
      <c r="AT115" s="146">
        <f t="shared" si="166"/>
        <v>0</v>
      </c>
      <c r="AU115" s="146">
        <f t="shared" si="141"/>
        <v>0</v>
      </c>
      <c r="AV115" s="146">
        <f t="shared" si="167"/>
        <v>0</v>
      </c>
      <c r="AW115" s="146">
        <f t="shared" si="142"/>
        <v>0</v>
      </c>
      <c r="AX115" s="146">
        <f t="shared" si="168"/>
        <v>0</v>
      </c>
      <c r="AY115" s="146">
        <f t="shared" si="143"/>
        <v>0</v>
      </c>
      <c r="AZ115" s="146">
        <f t="shared" si="169"/>
        <v>0</v>
      </c>
      <c r="BA115" s="146">
        <f t="shared" si="144"/>
        <v>0</v>
      </c>
      <c r="BB115" s="146">
        <f t="shared" si="170"/>
        <v>0</v>
      </c>
      <c r="BC115" s="146">
        <f t="shared" si="145"/>
        <v>0</v>
      </c>
      <c r="BD115" s="146">
        <f t="shared" si="171"/>
        <v>0</v>
      </c>
      <c r="BE115" s="146">
        <f t="shared" si="146"/>
        <v>0</v>
      </c>
      <c r="BF115" s="146">
        <f t="shared" si="172"/>
        <v>0</v>
      </c>
      <c r="BG115" s="146">
        <f t="shared" si="147"/>
        <v>0</v>
      </c>
      <c r="BH115" s="146">
        <f t="shared" si="173"/>
        <v>0</v>
      </c>
      <c r="BI115" s="146">
        <f t="shared" si="148"/>
        <v>0</v>
      </c>
      <c r="BJ115" s="146">
        <f t="shared" si="174"/>
        <v>0</v>
      </c>
      <c r="BK115" s="146">
        <f t="shared" si="149"/>
        <v>0</v>
      </c>
      <c r="BL115" s="146">
        <f t="shared" si="175"/>
        <v>0</v>
      </c>
      <c r="BM115" s="146">
        <f t="shared" si="150"/>
        <v>0</v>
      </c>
      <c r="BN115" s="67">
        <f t="shared" si="176"/>
        <v>0</v>
      </c>
      <c r="BO115" s="67">
        <f t="shared" si="151"/>
        <v>0</v>
      </c>
      <c r="BP115" s="67">
        <f t="shared" si="177"/>
        <v>0</v>
      </c>
      <c r="BQ115" s="67">
        <f t="shared" si="152"/>
        <v>0</v>
      </c>
      <c r="BR115" s="67">
        <f t="shared" si="178"/>
        <v>0</v>
      </c>
      <c r="BS115" s="67">
        <f t="shared" si="153"/>
        <v>0</v>
      </c>
      <c r="BT115" s="67">
        <f t="shared" si="179"/>
        <v>0</v>
      </c>
      <c r="BU115" s="67">
        <f t="shared" si="154"/>
        <v>0</v>
      </c>
      <c r="BV115" s="67">
        <f t="shared" si="180"/>
        <v>0</v>
      </c>
      <c r="BW115" s="67">
        <f t="shared" si="155"/>
        <v>0</v>
      </c>
      <c r="BX115" s="67">
        <f t="shared" si="181"/>
        <v>0</v>
      </c>
      <c r="BY115" s="67">
        <f t="shared" si="156"/>
        <v>0</v>
      </c>
      <c r="BZ115" s="67">
        <f t="shared" si="182"/>
        <v>0</v>
      </c>
      <c r="CA115" s="67">
        <v>107</v>
      </c>
      <c r="CB115" s="68">
        <v>950</v>
      </c>
      <c r="CC115" s="68">
        <f t="shared" si="158"/>
        <v>492</v>
      </c>
      <c r="CD115" s="69">
        <f t="shared" si="159"/>
        <v>0.5178947368421053</v>
      </c>
      <c r="CE115" s="67">
        <v>1.3</v>
      </c>
      <c r="CF115" s="68">
        <v>2306</v>
      </c>
      <c r="CG115" s="68">
        <f t="shared" si="160"/>
        <v>1194</v>
      </c>
      <c r="CH115" s="70">
        <f t="shared" si="161"/>
        <v>0.51777970511708582</v>
      </c>
      <c r="CI115" s="67">
        <v>1.3</v>
      </c>
      <c r="CJ115" s="67">
        <v>107</v>
      </c>
      <c r="CK115" s="67">
        <v>1.19</v>
      </c>
      <c r="CL115" s="67">
        <v>1.07</v>
      </c>
      <c r="CM115" s="67"/>
      <c r="CN115" s="67"/>
      <c r="CO115" s="67"/>
      <c r="CP115" s="67"/>
      <c r="CQ115" s="67"/>
      <c r="CR115" s="67"/>
      <c r="CS115" s="67"/>
      <c r="CT115" s="67"/>
      <c r="CU115" s="67"/>
      <c r="CV115" s="67"/>
      <c r="CW115" s="67"/>
      <c r="CX115" s="67"/>
    </row>
    <row r="116" spans="2:102" s="123" customFormat="1" ht="14.5" x14ac:dyDescent="0.35">
      <c r="B116" s="67"/>
      <c r="C116" s="67"/>
      <c r="D116" s="67"/>
      <c r="E116" s="67"/>
      <c r="F116" s="67"/>
      <c r="G116" s="67" t="str">
        <f t="shared" ca="1" si="193"/>
        <v/>
      </c>
      <c r="H116" s="67"/>
      <c r="I116" s="67"/>
      <c r="J116" s="67"/>
      <c r="K116" s="67" t="str">
        <f t="shared" si="194"/>
        <v/>
      </c>
      <c r="L116" s="67"/>
      <c r="M116" s="67" t="str">
        <f t="shared" si="195"/>
        <v/>
      </c>
      <c r="N116" s="67"/>
      <c r="O116" s="67" t="str">
        <f t="shared" si="196"/>
        <v/>
      </c>
      <c r="P116" s="146"/>
      <c r="Q116" s="146" t="str">
        <f t="shared" ca="1" si="197"/>
        <v/>
      </c>
      <c r="R116" s="146" t="str">
        <f t="shared" si="198"/>
        <v/>
      </c>
      <c r="S116" s="146" t="str">
        <f t="shared" si="199"/>
        <v/>
      </c>
      <c r="T116" s="146" t="str">
        <f t="shared" ca="1" si="200"/>
        <v/>
      </c>
      <c r="U116" s="146"/>
      <c r="V116" s="146"/>
      <c r="W116" s="146"/>
      <c r="X116" s="146"/>
      <c r="Y116" s="146"/>
      <c r="Z116" s="146"/>
      <c r="AA116" s="146"/>
      <c r="AB116" s="146" t="str">
        <f t="shared" si="185"/>
        <v/>
      </c>
      <c r="AC116" s="146" t="str">
        <f t="shared" ca="1" si="186"/>
        <v/>
      </c>
      <c r="AD116" s="146"/>
      <c r="AE116" s="146"/>
      <c r="AF116" s="146"/>
      <c r="AG116" s="146"/>
      <c r="AH116" s="146" t="str">
        <f t="shared" si="192"/>
        <v/>
      </c>
      <c r="AI116" s="146"/>
      <c r="AJ116" s="146"/>
      <c r="AK116" s="146">
        <f t="shared" si="136"/>
        <v>0</v>
      </c>
      <c r="AL116" s="146">
        <f t="shared" si="162"/>
        <v>0</v>
      </c>
      <c r="AM116" s="146">
        <f t="shared" si="137"/>
        <v>0</v>
      </c>
      <c r="AN116" s="146">
        <f t="shared" si="163"/>
        <v>0</v>
      </c>
      <c r="AO116" s="146">
        <f t="shared" si="138"/>
        <v>0</v>
      </c>
      <c r="AP116" s="146">
        <f t="shared" si="164"/>
        <v>0</v>
      </c>
      <c r="AQ116" s="146">
        <f t="shared" si="139"/>
        <v>0</v>
      </c>
      <c r="AR116" s="146">
        <f t="shared" si="165"/>
        <v>0</v>
      </c>
      <c r="AS116" s="146">
        <f t="shared" si="140"/>
        <v>0</v>
      </c>
      <c r="AT116" s="146">
        <f t="shared" si="166"/>
        <v>0</v>
      </c>
      <c r="AU116" s="146">
        <f t="shared" si="141"/>
        <v>0</v>
      </c>
      <c r="AV116" s="146">
        <f t="shared" si="167"/>
        <v>0</v>
      </c>
      <c r="AW116" s="146">
        <f t="shared" si="142"/>
        <v>0</v>
      </c>
      <c r="AX116" s="146">
        <f t="shared" si="168"/>
        <v>0</v>
      </c>
      <c r="AY116" s="146">
        <f t="shared" si="143"/>
        <v>0</v>
      </c>
      <c r="AZ116" s="146">
        <f t="shared" si="169"/>
        <v>0</v>
      </c>
      <c r="BA116" s="146">
        <f t="shared" si="144"/>
        <v>0</v>
      </c>
      <c r="BB116" s="146">
        <f t="shared" si="170"/>
        <v>0</v>
      </c>
      <c r="BC116" s="146">
        <f t="shared" si="145"/>
        <v>0</v>
      </c>
      <c r="BD116" s="146">
        <f t="shared" si="171"/>
        <v>0</v>
      </c>
      <c r="BE116" s="146">
        <f t="shared" si="146"/>
        <v>0</v>
      </c>
      <c r="BF116" s="146">
        <f t="shared" si="172"/>
        <v>0</v>
      </c>
      <c r="BG116" s="146">
        <f t="shared" si="147"/>
        <v>0</v>
      </c>
      <c r="BH116" s="146">
        <f t="shared" si="173"/>
        <v>0</v>
      </c>
      <c r="BI116" s="146">
        <f t="shared" si="148"/>
        <v>0</v>
      </c>
      <c r="BJ116" s="146">
        <f t="shared" si="174"/>
        <v>0</v>
      </c>
      <c r="BK116" s="146">
        <f t="shared" si="149"/>
        <v>0</v>
      </c>
      <c r="BL116" s="146">
        <f t="shared" si="175"/>
        <v>0</v>
      </c>
      <c r="BM116" s="146">
        <f t="shared" si="150"/>
        <v>0</v>
      </c>
      <c r="BN116" s="67">
        <f t="shared" si="176"/>
        <v>0</v>
      </c>
      <c r="BO116" s="67">
        <f t="shared" si="151"/>
        <v>0</v>
      </c>
      <c r="BP116" s="67">
        <f t="shared" si="177"/>
        <v>0</v>
      </c>
      <c r="BQ116" s="67">
        <f t="shared" si="152"/>
        <v>0</v>
      </c>
      <c r="BR116" s="67">
        <f t="shared" si="178"/>
        <v>0</v>
      </c>
      <c r="BS116" s="67">
        <f t="shared" si="153"/>
        <v>0</v>
      </c>
      <c r="BT116" s="67">
        <f t="shared" si="179"/>
        <v>0</v>
      </c>
      <c r="BU116" s="67">
        <f t="shared" si="154"/>
        <v>0</v>
      </c>
      <c r="BV116" s="67">
        <f t="shared" si="180"/>
        <v>0</v>
      </c>
      <c r="BW116" s="67">
        <f t="shared" si="155"/>
        <v>0</v>
      </c>
      <c r="BX116" s="67">
        <f t="shared" si="181"/>
        <v>0</v>
      </c>
      <c r="BY116" s="67">
        <f t="shared" si="156"/>
        <v>0</v>
      </c>
      <c r="BZ116" s="67">
        <f t="shared" si="182"/>
        <v>0</v>
      </c>
      <c r="CA116" s="67">
        <v>108</v>
      </c>
      <c r="CB116" s="68">
        <v>458</v>
      </c>
      <c r="CC116" s="68">
        <f t="shared" si="158"/>
        <v>256</v>
      </c>
      <c r="CD116" s="69">
        <f t="shared" si="159"/>
        <v>0.55895196506550215</v>
      </c>
      <c r="CE116" s="67">
        <v>1.1000000000000001</v>
      </c>
      <c r="CF116" s="68">
        <v>1112</v>
      </c>
      <c r="CG116" s="68">
        <f t="shared" si="160"/>
        <v>620</v>
      </c>
      <c r="CH116" s="70">
        <f t="shared" si="161"/>
        <v>0.55755395683453235</v>
      </c>
      <c r="CI116" s="67">
        <v>1.1000000000000001</v>
      </c>
      <c r="CJ116" s="67">
        <v>108</v>
      </c>
      <c r="CK116" s="67">
        <v>1</v>
      </c>
      <c r="CL116" s="67">
        <v>0.97</v>
      </c>
      <c r="CM116" s="67"/>
      <c r="CN116" s="67"/>
      <c r="CO116" s="67"/>
      <c r="CP116" s="67"/>
      <c r="CQ116" s="67"/>
      <c r="CR116" s="67"/>
      <c r="CS116" s="67"/>
      <c r="CT116" s="67"/>
      <c r="CU116" s="67"/>
      <c r="CV116" s="67"/>
      <c r="CW116" s="67"/>
      <c r="CX116" s="67"/>
    </row>
    <row r="117" spans="2:102" s="123" customFormat="1" ht="14.5" x14ac:dyDescent="0.35">
      <c r="B117" s="67"/>
      <c r="C117" s="67"/>
      <c r="D117" s="67"/>
      <c r="E117" s="67"/>
      <c r="F117" s="67"/>
      <c r="G117" s="67" t="str">
        <f t="shared" ca="1" si="193"/>
        <v/>
      </c>
      <c r="H117" s="67"/>
      <c r="I117" s="67"/>
      <c r="J117" s="67"/>
      <c r="K117" s="67" t="str">
        <f t="shared" si="194"/>
        <v/>
      </c>
      <c r="L117" s="67"/>
      <c r="M117" s="67" t="str">
        <f t="shared" si="195"/>
        <v/>
      </c>
      <c r="N117" s="67"/>
      <c r="O117" s="67" t="str">
        <f t="shared" si="196"/>
        <v/>
      </c>
      <c r="P117" s="146"/>
      <c r="Q117" s="146" t="str">
        <f t="shared" ca="1" si="197"/>
        <v/>
      </c>
      <c r="R117" s="146" t="str">
        <f t="shared" si="198"/>
        <v/>
      </c>
      <c r="S117" s="146" t="str">
        <f t="shared" si="199"/>
        <v/>
      </c>
      <c r="T117" s="146" t="str">
        <f t="shared" ca="1" si="200"/>
        <v/>
      </c>
      <c r="U117" s="146"/>
      <c r="V117" s="146"/>
      <c r="W117" s="146"/>
      <c r="X117" s="146"/>
      <c r="Y117" s="146"/>
      <c r="Z117" s="146"/>
      <c r="AA117" s="146"/>
      <c r="AB117" s="146" t="str">
        <f t="shared" si="185"/>
        <v/>
      </c>
      <c r="AC117" s="146" t="str">
        <f t="shared" ca="1" si="186"/>
        <v/>
      </c>
      <c r="AD117" s="146"/>
      <c r="AE117" s="146"/>
      <c r="AF117" s="146"/>
      <c r="AG117" s="146"/>
      <c r="AH117" s="146" t="str">
        <f t="shared" si="192"/>
        <v/>
      </c>
      <c r="AI117" s="146"/>
      <c r="AJ117" s="146"/>
      <c r="AK117" s="146">
        <f t="shared" ref="AK117:AK118" si="201">IF(AL117=1,IF($H$37="M",CI117,IF($H$37="H",CE117,IF($H$37="H Invalido",CK117,IF($H$37="M Invalida",CL117,0)))),0)</f>
        <v>0</v>
      </c>
      <c r="AL117" s="146">
        <f t="shared" si="162"/>
        <v>0</v>
      </c>
      <c r="AM117" s="146">
        <f t="shared" ref="AM117:AM118" si="202">IF(AN117=1,IF($H$36="M",CI117,IF($H$36="H",CE117,IF($H$36="H Invalido",CK117,IF($H$36="M Invalida",CL117,0)))),0)</f>
        <v>0</v>
      </c>
      <c r="AN117" s="146">
        <f t="shared" si="163"/>
        <v>0</v>
      </c>
      <c r="AO117" s="146">
        <f t="shared" ref="AO117:AO118" si="203">IF(AP117=1,IF($H$35="M",CI117,IF($H$35="H",CE117,IF($H$35="H Invalido",CK117,IF($H$35="M Invalida",CL117,0)))),0)</f>
        <v>0</v>
      </c>
      <c r="AP117" s="146">
        <f t="shared" si="164"/>
        <v>0</v>
      </c>
      <c r="AQ117" s="146">
        <f t="shared" ref="AQ117:AQ118" si="204">IF(AR117=1,IF($H$34="M",CI117,IF($H$34="H",CE117,IF($H$34="H Invalido",CK117,IF($H$34="M Invalida",CL117,0)))),0)</f>
        <v>0</v>
      </c>
      <c r="AR117" s="146">
        <f t="shared" si="165"/>
        <v>0</v>
      </c>
      <c r="AS117" s="146">
        <f t="shared" ref="AS117:AS118" si="205">IF(AT117=1,IF($H$33="M",CI117,IF($H$33="H",CE117,IF($H$33="H Invalido",CK117,IF($H$33="M Invalida",CL117,0)))),0)</f>
        <v>0</v>
      </c>
      <c r="AT117" s="146">
        <f t="shared" si="166"/>
        <v>0</v>
      </c>
      <c r="AU117" s="146">
        <f t="shared" ref="AU117:AU118" si="206">IF(AV117=1,IF($H$32="M",CI117,IF($H$32="H",CE117,IF($H$32="H Invalido",CK117,IF($H$32="M Invalida",CL117,0)))),0)</f>
        <v>0</v>
      </c>
      <c r="AV117" s="146">
        <f t="shared" si="167"/>
        <v>0</v>
      </c>
      <c r="AW117" s="146">
        <f t="shared" ref="AW117:AW118" si="207">IF(AX117=1,IF($H$31="M",CI117,IF($H$31="H",CE117,IF($H$31="H Invalido",CK117,IF($H$31="M Invalida",CL117,0)))),0)</f>
        <v>0</v>
      </c>
      <c r="AX117" s="146">
        <f t="shared" si="168"/>
        <v>0</v>
      </c>
      <c r="AY117" s="146">
        <f t="shared" ref="AY117:AY118" si="208">IF(AZ117=1,IF($H$30="M",CI117,IF($H$30="H",CE117,IF($H$30="H Invalido",CK117,IF($H$30="M Invalida",CL117,0)))),0)</f>
        <v>0</v>
      </c>
      <c r="AZ117" s="146">
        <f t="shared" si="169"/>
        <v>0</v>
      </c>
      <c r="BA117" s="146">
        <f t="shared" ref="BA117:BA118" si="209">IF(BB117=1,IF($H$29="M",CI117,IF($H$29="H",CE117,IF($H$29="H Invalido",CK117,IF($H$29="M Invalida",CL117,0)))),0)</f>
        <v>0</v>
      </c>
      <c r="BB117" s="146">
        <f t="shared" si="170"/>
        <v>0</v>
      </c>
      <c r="BC117" s="146">
        <f t="shared" ref="BC117:BC118" si="210">IF(BD117=1,IF($H$28="M",CI117,IF($H$28="H",CE117,IF($H$28="H Invalido",CK117,IF($H$28="M Invalida",CL117,0)))),0)</f>
        <v>0</v>
      </c>
      <c r="BD117" s="146">
        <f t="shared" si="171"/>
        <v>0</v>
      </c>
      <c r="BE117" s="146">
        <f t="shared" ref="BE117:BE118" si="211">IF(BF117=1,IF($H$27="M",CI117,IF($H$27="H",CE117,IF($H$27="H Invalido",CK117,IF($H$27="M Invalida",CL117,0)))),0)</f>
        <v>0</v>
      </c>
      <c r="BF117" s="146">
        <f t="shared" si="172"/>
        <v>0</v>
      </c>
      <c r="BG117" s="146">
        <f t="shared" ref="BG117:BG118" si="212">IF(BH117=1,IF($H$26="M",CI117,IF($H$26="H",CE117,IF($H$26="H Invalido",CK117,IF($H$26="M Invalida",CL117,0)))),0)</f>
        <v>0</v>
      </c>
      <c r="BH117" s="146">
        <f t="shared" si="173"/>
        <v>0</v>
      </c>
      <c r="BI117" s="146">
        <f t="shared" ref="BI117:BI118" si="213">IF(BJ117=1,IF($H$25="M",CI117,IF($H$25="H",CE117,IF($H$25="H Invalido",CK117,IF($H$25="M Invalida",CL117,0)))),0)</f>
        <v>0</v>
      </c>
      <c r="BJ117" s="146">
        <f t="shared" si="174"/>
        <v>0</v>
      </c>
      <c r="BK117" s="146">
        <f t="shared" ref="BK117:BK118" si="214">IF(BL117=1,IF($H$24="M",CI117,IF($H$24="H",CE117,IF($H$24="H Invalido",CK117,IF($H$24="M Invalida",CL117,0)))),0)</f>
        <v>0</v>
      </c>
      <c r="BL117" s="146">
        <f t="shared" si="175"/>
        <v>0</v>
      </c>
      <c r="BM117" s="146">
        <f t="shared" ref="BM117:BM118" si="215">IF(BN117=1,IF($H$23="M",CI117,IF($H$23="H",CE117,IF($H$23="H Invalido",CK117,IF($H$23="M Invalida",CL117,0)))),0)</f>
        <v>0</v>
      </c>
      <c r="BN117" s="67">
        <f t="shared" si="176"/>
        <v>0</v>
      </c>
      <c r="BO117" s="67">
        <f t="shared" ref="BO117:BO118" si="216">IF(BP117=1,IF($H$22="M",CI117,IF($H$22="H",CE117,IF($H$22="H Invalido",CK117,IF($H$22="M Invalida",CL117,0)))),0)</f>
        <v>0</v>
      </c>
      <c r="BP117" s="67">
        <f t="shared" si="177"/>
        <v>0</v>
      </c>
      <c r="BQ117" s="67">
        <f t="shared" ref="BQ117:BQ118" si="217">IF(BR117=1,IF($H$21="M",CI117,IF($H$21="H",CE117,IF($H$21="H Invalido",CK117,IF($H$21="M Invalida",CL117,0)))),0)</f>
        <v>0</v>
      </c>
      <c r="BR117" s="67">
        <f t="shared" si="178"/>
        <v>0</v>
      </c>
      <c r="BS117" s="67">
        <f t="shared" ref="BS117:BS118" si="218">IF(BT117=1,IF($H$20="M",CI117,IF($H$20="H",CE117,IF($H$20="H Invalido",CK117,IF($H$20="M Invalida",CL117,0)))),0)</f>
        <v>0</v>
      </c>
      <c r="BT117" s="67">
        <f t="shared" si="179"/>
        <v>0</v>
      </c>
      <c r="BU117" s="67">
        <f t="shared" ref="BU117:BU118" si="219">IF(BV117=1,IF($H$19="M",CI117,IF($H$19="H",CE117,IF($H$19="H Invalido",CK117,IF($H$19="M Invalida",CL117,0)))),0)</f>
        <v>0</v>
      </c>
      <c r="BV117" s="67">
        <f t="shared" si="180"/>
        <v>0</v>
      </c>
      <c r="BW117" s="67">
        <f t="shared" ref="BW117:BW118" si="220">IF(BX117=1,IF($H$18="M",CI117,IF($H$18="H",CE117,IF($H$18="H Invalido",CK117,IF($H$18="M Invalida",CL117,0)))),0)</f>
        <v>0</v>
      </c>
      <c r="BX117" s="67">
        <f t="shared" si="181"/>
        <v>0</v>
      </c>
      <c r="BY117" s="67">
        <f t="shared" ref="BY117:BY118" si="221">IF(BZ117=1,IF($E$10="M",CI117,IF($E$10="H",CE117,IF($E$10="H Invalido",CK117,IF($E$10="M Invalida",CL117,0)))),0)</f>
        <v>0</v>
      </c>
      <c r="BZ117" s="67">
        <f t="shared" si="182"/>
        <v>0</v>
      </c>
      <c r="CA117" s="67">
        <v>109</v>
      </c>
      <c r="CB117" s="68">
        <v>202</v>
      </c>
      <c r="CC117" s="68">
        <f t="shared" si="158"/>
        <v>121</v>
      </c>
      <c r="CD117" s="69">
        <f t="shared" si="159"/>
        <v>0.59900990099009899</v>
      </c>
      <c r="CE117" s="67">
        <v>0.9</v>
      </c>
      <c r="CF117" s="68">
        <v>492</v>
      </c>
      <c r="CG117" s="68">
        <f t="shared" si="160"/>
        <v>295</v>
      </c>
      <c r="CH117" s="70">
        <f t="shared" si="161"/>
        <v>0.59959349593495936</v>
      </c>
      <c r="CI117" s="67">
        <v>0.9</v>
      </c>
      <c r="CJ117" s="67">
        <v>109</v>
      </c>
      <c r="CK117" s="67">
        <v>1</v>
      </c>
      <c r="CL117" s="67">
        <v>0.83</v>
      </c>
      <c r="CM117" s="67"/>
      <c r="CN117" s="67"/>
      <c r="CO117" s="67"/>
      <c r="CP117" s="67"/>
      <c r="CQ117" s="67"/>
      <c r="CR117" s="67"/>
      <c r="CS117" s="67"/>
      <c r="CT117" s="67"/>
      <c r="CU117" s="67"/>
      <c r="CV117" s="67"/>
      <c r="CW117" s="67"/>
      <c r="CX117" s="67"/>
    </row>
    <row r="118" spans="2:102" s="123" customFormat="1" ht="14.5" x14ac:dyDescent="0.35">
      <c r="B118" s="67"/>
      <c r="C118" s="67"/>
      <c r="D118" s="67"/>
      <c r="E118" s="67"/>
      <c r="F118" s="67"/>
      <c r="G118" s="67" t="str">
        <f t="shared" ca="1" si="193"/>
        <v/>
      </c>
      <c r="H118" s="67"/>
      <c r="I118" s="67"/>
      <c r="J118" s="67"/>
      <c r="K118" s="67" t="str">
        <f t="shared" si="194"/>
        <v/>
      </c>
      <c r="L118" s="67"/>
      <c r="M118" s="67" t="str">
        <f t="shared" si="195"/>
        <v/>
      </c>
      <c r="N118" s="67"/>
      <c r="O118" s="67" t="str">
        <f t="shared" si="196"/>
        <v/>
      </c>
      <c r="P118" s="146"/>
      <c r="Q118" s="146" t="str">
        <f t="shared" ca="1" si="197"/>
        <v/>
      </c>
      <c r="R118" s="146" t="str">
        <f t="shared" si="198"/>
        <v/>
      </c>
      <c r="S118" s="146" t="str">
        <f t="shared" si="199"/>
        <v/>
      </c>
      <c r="T118" s="146" t="str">
        <f t="shared" ca="1" si="200"/>
        <v/>
      </c>
      <c r="U118" s="146"/>
      <c r="V118" s="146"/>
      <c r="W118" s="146"/>
      <c r="X118" s="146"/>
      <c r="Y118" s="146"/>
      <c r="Z118" s="146"/>
      <c r="AA118" s="146"/>
      <c r="AB118" s="146" t="str">
        <f>+IF(K102&lt;=0,"",K102)</f>
        <v/>
      </c>
      <c r="AC118" s="146" t="str">
        <f>+IF(ISERR(M102)=TRUE,"",IF(M102&lt;=0,"",M102))</f>
        <v/>
      </c>
      <c r="AD118" s="146" t="str">
        <f>+IF(ISERR(AI101)=TRUE,"",IF(AI101&lt;=0,"",AI101))</f>
        <v/>
      </c>
      <c r="AE118" s="146" t="str">
        <f>+IF(ISERR(AJ75)=TRUE,"",IF(AJ75&lt;=0,"",AJ75))</f>
        <v/>
      </c>
      <c r="AF118" s="146" t="str">
        <f>+IF(ISERR(T102)=TRUE,"",IF(T102&lt;=0,"",T102))</f>
        <v/>
      </c>
      <c r="AG118" s="146" t="str">
        <f>+IF(ISERR(U102)=TRUE,"",IF(U102&lt;=0,"",U102))</f>
        <v/>
      </c>
      <c r="AH118" s="146" t="str">
        <f t="shared" si="192"/>
        <v/>
      </c>
      <c r="AI118" s="146"/>
      <c r="AJ118" s="146"/>
      <c r="AK118" s="146">
        <f t="shared" si="201"/>
        <v>0</v>
      </c>
      <c r="AL118" s="146">
        <f t="shared" si="162"/>
        <v>0</v>
      </c>
      <c r="AM118" s="146">
        <f t="shared" si="202"/>
        <v>0</v>
      </c>
      <c r="AN118" s="146">
        <f t="shared" si="163"/>
        <v>0</v>
      </c>
      <c r="AO118" s="146">
        <f t="shared" si="203"/>
        <v>0</v>
      </c>
      <c r="AP118" s="146">
        <f t="shared" si="164"/>
        <v>0</v>
      </c>
      <c r="AQ118" s="146">
        <f t="shared" si="204"/>
        <v>0</v>
      </c>
      <c r="AR118" s="146">
        <f t="shared" si="165"/>
        <v>0</v>
      </c>
      <c r="AS118" s="146">
        <f t="shared" si="205"/>
        <v>0</v>
      </c>
      <c r="AT118" s="146">
        <f t="shared" si="166"/>
        <v>0</v>
      </c>
      <c r="AU118" s="146">
        <f t="shared" si="206"/>
        <v>0</v>
      </c>
      <c r="AV118" s="146">
        <f t="shared" si="167"/>
        <v>0</v>
      </c>
      <c r="AW118" s="146">
        <f t="shared" si="207"/>
        <v>0</v>
      </c>
      <c r="AX118" s="146">
        <f t="shared" si="168"/>
        <v>0</v>
      </c>
      <c r="AY118" s="146">
        <f t="shared" si="208"/>
        <v>0</v>
      </c>
      <c r="AZ118" s="146">
        <f t="shared" si="169"/>
        <v>0</v>
      </c>
      <c r="BA118" s="146">
        <f t="shared" si="209"/>
        <v>0</v>
      </c>
      <c r="BB118" s="146">
        <f t="shared" si="170"/>
        <v>0</v>
      </c>
      <c r="BC118" s="146">
        <f t="shared" si="210"/>
        <v>0</v>
      </c>
      <c r="BD118" s="146">
        <f t="shared" si="171"/>
        <v>0</v>
      </c>
      <c r="BE118" s="146">
        <f t="shared" si="211"/>
        <v>0</v>
      </c>
      <c r="BF118" s="146">
        <f t="shared" si="172"/>
        <v>0</v>
      </c>
      <c r="BG118" s="146">
        <f t="shared" si="212"/>
        <v>0</v>
      </c>
      <c r="BH118" s="146">
        <f t="shared" si="173"/>
        <v>0</v>
      </c>
      <c r="BI118" s="146">
        <f t="shared" si="213"/>
        <v>0</v>
      </c>
      <c r="BJ118" s="146">
        <f t="shared" si="174"/>
        <v>0</v>
      </c>
      <c r="BK118" s="146">
        <f t="shared" si="214"/>
        <v>0</v>
      </c>
      <c r="BL118" s="146">
        <f t="shared" si="175"/>
        <v>0</v>
      </c>
      <c r="BM118" s="146">
        <f t="shared" si="215"/>
        <v>0</v>
      </c>
      <c r="BN118" s="67">
        <f t="shared" si="176"/>
        <v>0</v>
      </c>
      <c r="BO118" s="67">
        <f t="shared" si="216"/>
        <v>0</v>
      </c>
      <c r="BP118" s="67">
        <f t="shared" si="177"/>
        <v>0</v>
      </c>
      <c r="BQ118" s="67">
        <f t="shared" si="217"/>
        <v>0</v>
      </c>
      <c r="BR118" s="67">
        <f t="shared" si="178"/>
        <v>0</v>
      </c>
      <c r="BS118" s="67">
        <f t="shared" si="218"/>
        <v>0</v>
      </c>
      <c r="BT118" s="67">
        <f t="shared" si="179"/>
        <v>0</v>
      </c>
      <c r="BU118" s="67">
        <f t="shared" si="219"/>
        <v>0</v>
      </c>
      <c r="BV118" s="67">
        <f t="shared" si="180"/>
        <v>0</v>
      </c>
      <c r="BW118" s="67">
        <f t="shared" si="220"/>
        <v>0</v>
      </c>
      <c r="BX118" s="67">
        <f t="shared" si="181"/>
        <v>0</v>
      </c>
      <c r="BY118" s="67">
        <f t="shared" si="221"/>
        <v>0</v>
      </c>
      <c r="BZ118" s="67">
        <f t="shared" si="182"/>
        <v>0</v>
      </c>
      <c r="CA118" s="67">
        <v>110</v>
      </c>
      <c r="CB118" s="68">
        <v>81</v>
      </c>
      <c r="CC118" s="68">
        <f>+CB118-CB146</f>
        <v>81</v>
      </c>
      <c r="CD118" s="69">
        <f t="shared" si="159"/>
        <v>1</v>
      </c>
      <c r="CE118" s="67">
        <v>0.5</v>
      </c>
      <c r="CF118" s="68">
        <v>197</v>
      </c>
      <c r="CG118" s="68">
        <f>+CF118-CF146</f>
        <v>197</v>
      </c>
      <c r="CH118" s="70">
        <f t="shared" si="161"/>
        <v>1</v>
      </c>
      <c r="CI118" s="67">
        <v>0.5</v>
      </c>
      <c r="CJ118" s="67"/>
      <c r="CK118" s="67"/>
      <c r="CL118" s="67"/>
      <c r="CM118" s="67"/>
      <c r="CN118" s="67"/>
      <c r="CO118" s="67"/>
      <c r="CP118" s="67"/>
      <c r="CQ118" s="67"/>
      <c r="CR118" s="67"/>
      <c r="CS118" s="67"/>
      <c r="CT118" s="67"/>
      <c r="CU118" s="67"/>
      <c r="CV118" s="67"/>
      <c r="CW118" s="67"/>
      <c r="CX118" s="67"/>
    </row>
    <row r="119" spans="2:102" s="123" customFormat="1" ht="14.5" x14ac:dyDescent="0.35">
      <c r="B119" s="67"/>
      <c r="C119" s="67"/>
      <c r="D119" s="67"/>
      <c r="E119" s="67"/>
      <c r="F119" s="67"/>
      <c r="G119" s="67"/>
      <c r="H119" s="67"/>
      <c r="I119" s="67"/>
      <c r="J119" s="67"/>
      <c r="K119" s="67"/>
      <c r="L119" s="67"/>
      <c r="M119" s="67"/>
      <c r="N119" s="67"/>
      <c r="O119" s="67"/>
      <c r="P119" s="146"/>
      <c r="Q119" s="146"/>
      <c r="R119" s="146"/>
      <c r="S119" s="146"/>
      <c r="T119" s="146"/>
      <c r="U119" s="146"/>
      <c r="V119" s="146"/>
      <c r="W119" s="146"/>
      <c r="X119" s="146"/>
      <c r="Y119" s="146"/>
      <c r="Z119" s="146"/>
      <c r="AA119" s="146"/>
      <c r="AB119" s="179">
        <f>+IF(K103&lt;=0,"",K103)</f>
        <v>810000000</v>
      </c>
      <c r="AC119" s="179">
        <f ca="1">+IF(ISERR(M103)=TRUE,"",IF(M103&lt;=0,"",M103))</f>
        <v>822170474.89261436</v>
      </c>
      <c r="AD119" s="146" t="str">
        <f ca="1">+IF(ISERR(AI102)=TRUE,"",IF(AI102&lt;=0,"",AI102))</f>
        <v/>
      </c>
      <c r="AE119" s="146" t="str">
        <f ca="1">+IF(ISERR(AJ76)=TRUE,"",IF(AJ76&lt;=0,"",IF(AA115=0,0,AJ76)))</f>
        <v/>
      </c>
      <c r="AF119" s="146" t="str">
        <f ca="1">+IF(ISERR(T103)=TRUE,"",IF(T103&lt;=0,"",T103))</f>
        <v/>
      </c>
      <c r="AG119" s="146" t="str">
        <f ca="1">+IF(ISERR(U103)=TRUE,"",IF(U103&lt;=0,"",U103))</f>
        <v/>
      </c>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67"/>
      <c r="BO119" s="67"/>
      <c r="BP119" s="67"/>
      <c r="BQ119" s="67"/>
      <c r="BR119" s="67"/>
      <c r="BS119" s="67"/>
      <c r="BT119" s="67"/>
      <c r="BU119" s="67"/>
      <c r="BV119" s="67"/>
      <c r="BW119" s="67"/>
      <c r="BX119" s="67"/>
      <c r="BY119" s="67"/>
      <c r="BZ119" s="67"/>
      <c r="CA119" s="67"/>
      <c r="CB119" s="68"/>
      <c r="CC119" s="68"/>
      <c r="CD119" s="69"/>
      <c r="CE119" s="67"/>
      <c r="CF119" s="68"/>
      <c r="CG119" s="68"/>
      <c r="CH119" s="70"/>
      <c r="CI119" s="67"/>
      <c r="CJ119" s="67"/>
      <c r="CK119" s="67"/>
      <c r="CL119" s="67"/>
      <c r="CM119" s="67"/>
      <c r="CN119" s="67"/>
      <c r="CO119" s="67"/>
      <c r="CP119" s="67"/>
      <c r="CQ119" s="67"/>
      <c r="CR119" s="67"/>
      <c r="CS119" s="67"/>
      <c r="CT119" s="67"/>
      <c r="CU119" s="67"/>
      <c r="CV119" s="67"/>
      <c r="CW119" s="67"/>
      <c r="CX119" s="67"/>
    </row>
    <row r="120" spans="2:102" s="123" customFormat="1" ht="14.5" x14ac:dyDescent="0.35">
      <c r="B120" s="67"/>
      <c r="C120" s="67"/>
      <c r="D120" s="67"/>
      <c r="E120" s="67"/>
      <c r="F120" s="67"/>
      <c r="G120" s="67"/>
      <c r="H120" s="67"/>
      <c r="I120" s="67"/>
      <c r="J120" s="67"/>
      <c r="K120" s="67"/>
      <c r="L120" s="67"/>
      <c r="M120" s="67"/>
      <c r="N120" s="67"/>
      <c r="O120" s="67"/>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67"/>
      <c r="BO120" s="67"/>
      <c r="BP120" s="67"/>
      <c r="BQ120" s="67"/>
      <c r="BR120" s="67"/>
      <c r="BS120" s="67"/>
      <c r="BT120" s="67"/>
      <c r="BU120" s="67"/>
      <c r="BV120" s="67"/>
      <c r="BW120" s="67"/>
      <c r="BX120" s="67"/>
      <c r="BY120" s="67"/>
      <c r="BZ120" s="67"/>
      <c r="CA120" s="67"/>
      <c r="CB120" s="68"/>
      <c r="CC120" s="68"/>
      <c r="CD120" s="69"/>
      <c r="CE120" s="67"/>
      <c r="CF120" s="68"/>
      <c r="CG120" s="68"/>
      <c r="CH120" s="70"/>
      <c r="CI120" s="67"/>
      <c r="CJ120" s="67"/>
      <c r="CK120" s="67"/>
      <c r="CL120" s="67"/>
      <c r="CM120" s="67"/>
      <c r="CN120" s="67"/>
      <c r="CO120" s="67"/>
      <c r="CP120" s="67"/>
      <c r="CQ120" s="67"/>
      <c r="CR120" s="67"/>
      <c r="CS120" s="67"/>
      <c r="CT120" s="67"/>
      <c r="CU120" s="67"/>
      <c r="CV120" s="67"/>
      <c r="CW120" s="67"/>
      <c r="CX120" s="67"/>
    </row>
    <row r="121" spans="2:102" s="123" customFormat="1" ht="14.5" x14ac:dyDescent="0.35">
      <c r="B121" s="67"/>
      <c r="C121" s="67"/>
      <c r="D121" s="67"/>
      <c r="E121" s="67"/>
      <c r="F121" s="67"/>
      <c r="G121" s="67"/>
      <c r="H121" s="67"/>
      <c r="I121" s="67"/>
      <c r="J121" s="67"/>
      <c r="K121" s="67"/>
      <c r="L121" s="67"/>
      <c r="M121" s="67"/>
      <c r="N121" s="67"/>
      <c r="O121" s="67"/>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67"/>
      <c r="BO121" s="67"/>
      <c r="BP121" s="67"/>
      <c r="BQ121" s="67"/>
      <c r="BR121" s="67"/>
      <c r="BS121" s="67"/>
      <c r="BT121" s="67"/>
      <c r="BU121" s="67"/>
      <c r="BV121" s="67"/>
      <c r="BW121" s="67"/>
      <c r="BX121" s="67"/>
      <c r="BY121" s="67"/>
      <c r="BZ121" s="67"/>
      <c r="CA121" s="67"/>
      <c r="CB121" s="68"/>
      <c r="CC121" s="68"/>
      <c r="CD121" s="69"/>
      <c r="CE121" s="67"/>
      <c r="CF121" s="68"/>
      <c r="CG121" s="68"/>
      <c r="CH121" s="70"/>
      <c r="CI121" s="67"/>
      <c r="CJ121" s="67"/>
      <c r="CK121" s="67"/>
      <c r="CL121" s="67"/>
      <c r="CM121" s="67"/>
      <c r="CN121" s="67"/>
      <c r="CO121" s="67"/>
      <c r="CP121" s="67"/>
      <c r="CQ121" s="67"/>
      <c r="CR121" s="67"/>
      <c r="CS121" s="67"/>
      <c r="CT121" s="67"/>
      <c r="CU121" s="67"/>
      <c r="CV121" s="67"/>
      <c r="CW121" s="67"/>
      <c r="CX121" s="67"/>
    </row>
    <row r="122" spans="2:102" s="123" customFormat="1" ht="14.5" x14ac:dyDescent="0.35">
      <c r="B122" s="67"/>
      <c r="C122" s="67"/>
      <c r="D122" s="67"/>
      <c r="E122" s="67"/>
      <c r="F122" s="67"/>
      <c r="G122" s="67" t="str">
        <f ca="1">AD103</f>
        <v/>
      </c>
      <c r="H122" s="67"/>
      <c r="I122" s="67"/>
      <c r="J122" s="67"/>
      <c r="K122" s="67" t="str">
        <f>AF103</f>
        <v/>
      </c>
      <c r="L122" s="67"/>
      <c r="M122" s="67" t="str">
        <f>AG103</f>
        <v/>
      </c>
      <c r="N122" s="67"/>
      <c r="O122" s="67" t="str">
        <f>AH107</f>
        <v/>
      </c>
      <c r="P122" s="146"/>
      <c r="Q122" s="146" t="str">
        <f ca="1">IF(G122="","",IF(ISERR(G122)=TRUE,"",IF(G122&lt;0,"",IF(G122=0,G122,IF(AI89&lt;AA99,AI89,AA99)))))</f>
        <v/>
      </c>
      <c r="R122" s="146" t="str">
        <f>IF(K122="","",IF(ISERR(K122)=TRUE,"",IF(K122&lt;=0,"",IF(T86&lt;($AF$80*AB103*$E$12/100),T86,(AB103*$AF$80*$E$12/100)))))</f>
        <v/>
      </c>
      <c r="S122" s="146" t="str">
        <f>IF(ISERR(R122)=TRUE,"",IF(ISERR(R122/$M$67)=TRUE,"",R122*100/$M$67))</f>
        <v/>
      </c>
      <c r="T122" s="146" t="str">
        <f t="shared" ca="1" si="200"/>
        <v/>
      </c>
      <c r="U122" s="146"/>
      <c r="V122" s="146"/>
      <c r="W122" s="146"/>
      <c r="X122" s="146"/>
      <c r="Y122" s="146"/>
      <c r="Z122" s="146"/>
      <c r="AA122" s="146"/>
      <c r="AB122" s="146"/>
      <c r="AC122" s="146"/>
      <c r="AD122" s="146"/>
      <c r="AE122" s="146"/>
      <c r="AF122" s="146"/>
      <c r="AG122" s="146"/>
      <c r="AH122" s="146" t="str">
        <f>+IF(ISERR(W102)=TRUE,"",IF(W102&lt;=0,"",W102))</f>
        <v/>
      </c>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67"/>
      <c r="BO122" s="67"/>
      <c r="BP122" s="67"/>
      <c r="BQ122" s="67"/>
      <c r="BR122" s="67"/>
      <c r="BS122" s="67"/>
      <c r="BT122" s="67"/>
      <c r="BU122" s="67"/>
      <c r="BV122" s="67"/>
      <c r="BW122" s="67"/>
      <c r="BX122" s="67"/>
      <c r="BY122" s="67"/>
      <c r="BZ122" s="67"/>
      <c r="CA122" s="67"/>
      <c r="CB122" s="68"/>
      <c r="CC122" s="68"/>
      <c r="CD122" s="69"/>
      <c r="CE122" s="67"/>
      <c r="CF122" s="68"/>
      <c r="CG122" s="68"/>
      <c r="CH122" s="70"/>
      <c r="CI122" s="67"/>
      <c r="CJ122" s="67"/>
      <c r="CK122" s="67"/>
      <c r="CL122" s="67"/>
      <c r="CM122" s="67"/>
      <c r="CN122" s="67"/>
      <c r="CO122" s="67"/>
      <c r="CP122" s="67"/>
      <c r="CQ122" s="67"/>
      <c r="CR122" s="67"/>
      <c r="CS122" s="67"/>
      <c r="CT122" s="67"/>
      <c r="CU122" s="67"/>
      <c r="CV122" s="67"/>
      <c r="CW122" s="67"/>
      <c r="CX122" s="67"/>
    </row>
    <row r="123" spans="2:102" s="123" customFormat="1" ht="14.5" x14ac:dyDescent="0.35">
      <c r="B123" s="67"/>
      <c r="C123" s="67"/>
      <c r="D123" s="67"/>
      <c r="E123" s="67"/>
      <c r="F123" s="67"/>
      <c r="G123" s="67" t="str">
        <f ca="1">AD104</f>
        <v/>
      </c>
      <c r="H123" s="67"/>
      <c r="I123" s="67"/>
      <c r="J123" s="67"/>
      <c r="K123" s="67" t="str">
        <f>AF104</f>
        <v/>
      </c>
      <c r="L123" s="67"/>
      <c r="M123" s="67" t="str">
        <f>AG104</f>
        <v/>
      </c>
      <c r="N123" s="67"/>
      <c r="O123" s="67" t="str">
        <f>AH108</f>
        <v/>
      </c>
      <c r="P123" s="146"/>
      <c r="Q123" s="146" t="str">
        <f ca="1">IF(G123="","",IF(ISERR(G123)=TRUE,"",IF(G123&lt;0,"",IF(G123=0,G123,IF(AI90&lt;AA100,AI90,AA100)))))</f>
        <v/>
      </c>
      <c r="R123" s="146" t="str">
        <f>IF(K123="","",IF(ISERR(K123)=TRUE,"",IF(K123&lt;=0,"",IF(T87&lt;($AF$80*AB104*$E$12/100),T87,(AB104*$AF$80*$E$12/100)))))</f>
        <v/>
      </c>
      <c r="S123" s="146" t="str">
        <f>IF(ISERR(R123)=TRUE,"",IF(ISERR(R123/$M$67)=TRUE,"",R123*100/$M$67))</f>
        <v/>
      </c>
      <c r="T123" s="146" t="str">
        <f t="shared" ca="1" si="200"/>
        <v/>
      </c>
      <c r="U123" s="146"/>
      <c r="V123" s="146"/>
      <c r="W123" s="146"/>
      <c r="X123" s="146"/>
      <c r="Y123" s="146"/>
      <c r="Z123" s="146"/>
      <c r="AA123" s="146"/>
      <c r="AB123" s="146"/>
      <c r="AC123" s="146"/>
      <c r="AD123" s="146"/>
      <c r="AE123" s="146"/>
      <c r="AF123" s="146"/>
      <c r="AG123" s="146"/>
      <c r="AH123" s="146" t="str">
        <f ca="1">+IF(ISERR(W103)=TRUE,"",IF(W103&lt;=0,"",W103))</f>
        <v/>
      </c>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67"/>
      <c r="BO123" s="67"/>
      <c r="BP123" s="67"/>
      <c r="BQ123" s="67"/>
      <c r="BR123" s="67"/>
      <c r="BS123" s="67"/>
      <c r="BT123" s="67"/>
      <c r="BU123" s="67"/>
      <c r="BV123" s="67"/>
      <c r="BW123" s="67"/>
      <c r="BX123" s="67"/>
      <c r="BY123" s="67"/>
      <c r="BZ123" s="67"/>
      <c r="CA123" s="67"/>
      <c r="CB123" s="68"/>
      <c r="CC123" s="68"/>
      <c r="CD123" s="69"/>
      <c r="CE123" s="67"/>
      <c r="CF123" s="68"/>
      <c r="CG123" s="68"/>
      <c r="CH123" s="70"/>
      <c r="CI123" s="67"/>
      <c r="CJ123" s="67"/>
      <c r="CK123" s="67"/>
      <c r="CL123" s="67"/>
      <c r="CM123" s="67"/>
      <c r="CN123" s="67"/>
      <c r="CO123" s="67"/>
      <c r="CP123" s="67"/>
      <c r="CQ123" s="67"/>
      <c r="CR123" s="67"/>
      <c r="CS123" s="67"/>
      <c r="CT123" s="67"/>
      <c r="CU123" s="67"/>
      <c r="CV123" s="67"/>
      <c r="CW123" s="67"/>
      <c r="CX123" s="67"/>
    </row>
    <row r="124" spans="2:102" s="123" customFormat="1" ht="14.5" x14ac:dyDescent="0.35">
      <c r="B124" s="67"/>
      <c r="C124" s="67"/>
      <c r="D124" s="67"/>
      <c r="E124" s="67"/>
      <c r="F124" s="67"/>
      <c r="G124" s="67" t="str">
        <f ca="1">AD105</f>
        <v/>
      </c>
      <c r="H124" s="67"/>
      <c r="I124" s="67"/>
      <c r="J124" s="67"/>
      <c r="K124" s="67" t="str">
        <f>AF105</f>
        <v/>
      </c>
      <c r="L124" s="67"/>
      <c r="M124" s="67" t="str">
        <f>AG105</f>
        <v/>
      </c>
      <c r="N124" s="67"/>
      <c r="O124" s="67" t="str">
        <f>AH109</f>
        <v/>
      </c>
      <c r="P124" s="146"/>
      <c r="Q124" s="146" t="str">
        <f ca="1">IF(G124="","",IF(ISERR(G124)=TRUE,"",IF(G124&lt;0,"",IF(G124=0,G124,IF(AI91&lt;AA101,AI91,AA101)))))</f>
        <v/>
      </c>
      <c r="R124" s="146" t="str">
        <f>IF(K124="","",IF(ISERR(K124)=TRUE,"",IF(K124&lt;=0,"",IF(T88&lt;($AF$80*AB105*$E$12/100),T88,(AB105*$AF$80*$E$12/100)))))</f>
        <v/>
      </c>
      <c r="S124" s="146" t="str">
        <f>IF(ISERR(R124)=TRUE,"",IF(ISERR(R124/$M$67)=TRUE,"",R124*100/$M$67))</f>
        <v/>
      </c>
      <c r="T124" s="146" t="str">
        <f t="shared" ca="1" si="200"/>
        <v/>
      </c>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67"/>
      <c r="BO124" s="67"/>
      <c r="BP124" s="67"/>
      <c r="BQ124" s="67"/>
      <c r="BR124" s="67"/>
      <c r="BS124" s="67"/>
      <c r="BT124" s="67"/>
      <c r="BU124" s="67"/>
      <c r="BV124" s="67"/>
      <c r="BW124" s="67"/>
      <c r="BX124" s="67"/>
      <c r="BY124" s="67"/>
      <c r="BZ124" s="67"/>
      <c r="CA124" s="67"/>
      <c r="CB124" s="68"/>
      <c r="CC124" s="68"/>
      <c r="CD124" s="69"/>
      <c r="CE124" s="67"/>
      <c r="CF124" s="68"/>
      <c r="CG124" s="68"/>
      <c r="CH124" s="70"/>
      <c r="CI124" s="67"/>
      <c r="CJ124" s="67"/>
      <c r="CK124" s="67"/>
      <c r="CL124" s="67"/>
      <c r="CM124" s="67"/>
      <c r="CN124" s="67"/>
      <c r="CO124" s="67"/>
      <c r="CP124" s="67"/>
      <c r="CQ124" s="67"/>
      <c r="CR124" s="67"/>
      <c r="CS124" s="67"/>
      <c r="CT124" s="67"/>
      <c r="CU124" s="67"/>
      <c r="CV124" s="67"/>
      <c r="CW124" s="67"/>
      <c r="CX124" s="67"/>
    </row>
    <row r="125" spans="2:102" s="123" customFormat="1" ht="14.5" x14ac:dyDescent="0.35">
      <c r="B125" s="67"/>
      <c r="C125" s="67"/>
      <c r="D125" s="67"/>
      <c r="E125" s="67"/>
      <c r="F125" s="67"/>
      <c r="G125" s="67" t="str">
        <f ca="1">AD106</f>
        <v/>
      </c>
      <c r="H125" s="67"/>
      <c r="I125" s="67"/>
      <c r="J125" s="67"/>
      <c r="K125" s="67" t="str">
        <f>AF106</f>
        <v/>
      </c>
      <c r="L125" s="67"/>
      <c r="M125" s="67" t="str">
        <f>AG106</f>
        <v/>
      </c>
      <c r="N125" s="67"/>
      <c r="O125" s="67" t="str">
        <f>AH110</f>
        <v/>
      </c>
      <c r="P125" s="146"/>
      <c r="Q125" s="146" t="str">
        <f ca="1">IF(G125="","",IF(ISERR(G125)=TRUE,"",IF(G125&lt;0,"",IF(G125=0,G125,IF(AI92&lt;AA102,AI92,AA102)))))</f>
        <v/>
      </c>
      <c r="R125" s="146" t="str">
        <f>IF(K125="","",IF(ISERR(K125)=TRUE,"",IF(K125&lt;=0,"",IF(T89&lt;($AF$80*AB106*$E$12/100),T89,(AB106*$AF$80*$E$12/100)))))</f>
        <v/>
      </c>
      <c r="S125" s="146" t="str">
        <f>IF(ISERR(R125)=TRUE,"",IF(ISERR(R125/$M$67)=TRUE,"",R125*100/$M$67))</f>
        <v/>
      </c>
      <c r="T125" s="146" t="str">
        <f t="shared" ca="1" si="200"/>
        <v/>
      </c>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67"/>
      <c r="BO125" s="67"/>
      <c r="BP125" s="67"/>
      <c r="BQ125" s="67"/>
      <c r="BR125" s="67"/>
      <c r="BS125" s="67"/>
      <c r="BT125" s="67"/>
      <c r="BU125" s="67"/>
      <c r="BV125" s="67"/>
      <c r="BW125" s="67"/>
      <c r="BX125" s="67"/>
      <c r="BY125" s="67"/>
      <c r="BZ125" s="67"/>
      <c r="CA125" s="67"/>
      <c r="CB125" s="68"/>
      <c r="CC125" s="68"/>
      <c r="CD125" s="69"/>
      <c r="CE125" s="67"/>
      <c r="CF125" s="68"/>
      <c r="CG125" s="68"/>
      <c r="CH125" s="70"/>
      <c r="CI125" s="67"/>
      <c r="CJ125" s="67"/>
      <c r="CK125" s="67"/>
      <c r="CL125" s="67"/>
      <c r="CM125" s="67"/>
      <c r="CN125" s="67"/>
      <c r="CO125" s="67"/>
      <c r="CP125" s="67"/>
      <c r="CQ125" s="67"/>
      <c r="CR125" s="67"/>
      <c r="CS125" s="67"/>
      <c r="CT125" s="67"/>
      <c r="CU125" s="67"/>
      <c r="CV125" s="67"/>
      <c r="CW125" s="67"/>
      <c r="CX125" s="67"/>
    </row>
    <row r="126" spans="2:102" s="123" customFormat="1" ht="14.5" x14ac:dyDescent="0.35">
      <c r="B126" s="67"/>
      <c r="C126" s="67"/>
      <c r="D126" s="67"/>
      <c r="E126" s="67"/>
      <c r="F126" s="67"/>
      <c r="G126" s="67" t="str">
        <f ca="1">AD107</f>
        <v/>
      </c>
      <c r="H126" s="67"/>
      <c r="I126" s="67"/>
      <c r="J126" s="67"/>
      <c r="K126" s="67" t="str">
        <f>AF107</f>
        <v/>
      </c>
      <c r="L126" s="67"/>
      <c r="M126" s="67" t="str">
        <f>AG107</f>
        <v/>
      </c>
      <c r="N126" s="67"/>
      <c r="O126" s="67" t="str">
        <f>AH111</f>
        <v/>
      </c>
      <c r="P126" s="146"/>
      <c r="Q126" s="146" t="str">
        <f ca="1">IF(G126="","",IF(ISERR(G126)=TRUE,"",IF(G126&lt;0,"",IF(G126=0,G126,IF(AI93&lt;AA103,AI93,AA103)))))</f>
        <v/>
      </c>
      <c r="R126" s="146" t="str">
        <f>IF(K126="","",IF(ISERR(K126)=TRUE,"",IF(K126&lt;=0,"",IF(T90&lt;($AF$80*AB107*$E$12/100),T90,(AB107*$AF$80*$E$12/100)))))</f>
        <v/>
      </c>
      <c r="S126" s="146" t="str">
        <f>IF(ISERR(R126)=TRUE,"",IF(ISERR(R126/$M$67)=TRUE,"",R126*100/$M$67))</f>
        <v/>
      </c>
      <c r="T126" s="146" t="str">
        <f t="shared" ca="1" si="200"/>
        <v/>
      </c>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67"/>
      <c r="BO126" s="67"/>
      <c r="BP126" s="67"/>
      <c r="BQ126" s="67"/>
      <c r="BR126" s="67"/>
      <c r="BS126" s="67"/>
      <c r="BT126" s="67"/>
      <c r="BU126" s="67"/>
      <c r="BV126" s="67"/>
      <c r="BW126" s="67"/>
      <c r="BX126" s="67"/>
      <c r="BY126" s="67"/>
      <c r="BZ126" s="67"/>
      <c r="CA126" s="67"/>
      <c r="CB126" s="68"/>
      <c r="CC126" s="68"/>
      <c r="CD126" s="69"/>
      <c r="CE126" s="67"/>
      <c r="CF126" s="68"/>
      <c r="CG126" s="68"/>
      <c r="CH126" s="70"/>
      <c r="CI126" s="67"/>
      <c r="CJ126" s="67"/>
      <c r="CK126" s="67"/>
      <c r="CL126" s="67"/>
      <c r="CM126" s="67"/>
      <c r="CN126" s="67"/>
      <c r="CO126" s="67"/>
      <c r="CP126" s="67"/>
      <c r="CQ126" s="67"/>
      <c r="CR126" s="67"/>
      <c r="CS126" s="67"/>
      <c r="CT126" s="67"/>
      <c r="CU126" s="67"/>
      <c r="CV126" s="67"/>
      <c r="CW126" s="67"/>
      <c r="CX126" s="67"/>
    </row>
    <row r="127" spans="2:102" s="123" customFormat="1" ht="14.5" x14ac:dyDescent="0.35">
      <c r="B127" s="67"/>
      <c r="C127" s="67"/>
      <c r="D127" s="67"/>
      <c r="E127" s="67"/>
      <c r="F127" s="67"/>
      <c r="G127" s="67"/>
      <c r="H127" s="67"/>
      <c r="I127" s="67"/>
      <c r="J127" s="67"/>
      <c r="K127" s="67"/>
      <c r="L127" s="67"/>
      <c r="M127" s="67"/>
      <c r="N127" s="67"/>
      <c r="O127" s="67"/>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67"/>
      <c r="BO127" s="67"/>
      <c r="BP127" s="67"/>
      <c r="BQ127" s="67"/>
      <c r="BR127" s="67"/>
      <c r="BS127" s="67"/>
      <c r="BT127" s="67"/>
      <c r="BU127" s="67"/>
      <c r="BV127" s="67"/>
      <c r="BW127" s="67"/>
      <c r="BX127" s="67"/>
      <c r="BY127" s="67"/>
      <c r="BZ127" s="67"/>
      <c r="CA127" s="67"/>
      <c r="CB127" s="68"/>
      <c r="CC127" s="68"/>
      <c r="CD127" s="69"/>
      <c r="CE127" s="67"/>
      <c r="CF127" s="68"/>
      <c r="CG127" s="68"/>
      <c r="CH127" s="70"/>
      <c r="CI127" s="67"/>
      <c r="CJ127" s="67"/>
      <c r="CK127" s="67"/>
      <c r="CL127" s="67"/>
      <c r="CM127" s="67"/>
      <c r="CN127" s="67"/>
      <c r="CO127" s="67"/>
      <c r="CP127" s="67"/>
      <c r="CQ127" s="67"/>
      <c r="CR127" s="67"/>
      <c r="CS127" s="67"/>
      <c r="CT127" s="67"/>
      <c r="CU127" s="67"/>
      <c r="CV127" s="67"/>
      <c r="CW127" s="67"/>
      <c r="CX127" s="67"/>
    </row>
    <row r="128" spans="2:102" s="123" customFormat="1" ht="14.5" x14ac:dyDescent="0.35">
      <c r="B128" s="67"/>
      <c r="C128" s="67"/>
      <c r="D128" s="67"/>
      <c r="E128" s="67"/>
      <c r="F128" s="67"/>
      <c r="G128" s="67"/>
      <c r="H128" s="67"/>
      <c r="I128" s="67"/>
      <c r="J128" s="67"/>
      <c r="K128" s="67"/>
      <c r="L128" s="67"/>
      <c r="M128" s="67"/>
      <c r="N128" s="67"/>
      <c r="O128" s="67"/>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67"/>
      <c r="BO128" s="67"/>
      <c r="BP128" s="67"/>
      <c r="BQ128" s="67"/>
      <c r="BR128" s="67"/>
      <c r="BS128" s="67"/>
      <c r="BT128" s="67"/>
      <c r="BU128" s="67"/>
      <c r="BV128" s="67"/>
      <c r="BW128" s="67"/>
      <c r="BX128" s="67"/>
      <c r="BY128" s="67"/>
      <c r="BZ128" s="67"/>
      <c r="CA128" s="67"/>
      <c r="CB128" s="68"/>
      <c r="CC128" s="68"/>
      <c r="CD128" s="69"/>
      <c r="CE128" s="67"/>
      <c r="CF128" s="68"/>
      <c r="CG128" s="68"/>
      <c r="CH128" s="70"/>
      <c r="CI128" s="67"/>
      <c r="CJ128" s="67"/>
      <c r="CK128" s="67"/>
      <c r="CL128" s="67"/>
      <c r="CM128" s="67"/>
      <c r="CN128" s="67"/>
      <c r="CO128" s="67"/>
      <c r="CP128" s="67"/>
      <c r="CQ128" s="67"/>
      <c r="CR128" s="67"/>
      <c r="CS128" s="67"/>
      <c r="CT128" s="67"/>
      <c r="CU128" s="67"/>
      <c r="CV128" s="67"/>
      <c r="CW128" s="67"/>
      <c r="CX128" s="67"/>
    </row>
    <row r="129" spans="2:102" s="123" customFormat="1" ht="14.5" x14ac:dyDescent="0.35">
      <c r="B129" s="67"/>
      <c r="C129" s="67"/>
      <c r="D129" s="67"/>
      <c r="E129" s="67"/>
      <c r="F129" s="67"/>
      <c r="G129" s="67"/>
      <c r="H129" s="67"/>
      <c r="I129" s="67"/>
      <c r="J129" s="67"/>
      <c r="K129" s="67"/>
      <c r="L129" s="67"/>
      <c r="M129" s="67"/>
      <c r="N129" s="67"/>
      <c r="O129" s="67"/>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67"/>
      <c r="BO129" s="67"/>
      <c r="BP129" s="67"/>
      <c r="BQ129" s="67"/>
      <c r="BR129" s="67"/>
      <c r="BS129" s="67"/>
      <c r="BT129" s="67"/>
      <c r="BU129" s="67"/>
      <c r="BV129" s="67"/>
      <c r="BW129" s="67"/>
      <c r="BX129" s="67"/>
      <c r="BY129" s="67"/>
      <c r="BZ129" s="67"/>
      <c r="CA129" s="67"/>
      <c r="CB129" s="68"/>
      <c r="CC129" s="68"/>
      <c r="CD129" s="69"/>
      <c r="CE129" s="67"/>
      <c r="CF129" s="68"/>
      <c r="CG129" s="68"/>
      <c r="CH129" s="70"/>
      <c r="CI129" s="67"/>
      <c r="CJ129" s="67"/>
      <c r="CK129" s="67"/>
      <c r="CL129" s="67"/>
      <c r="CM129" s="67"/>
      <c r="CN129" s="67"/>
      <c r="CO129" s="67"/>
      <c r="CP129" s="67"/>
      <c r="CQ129" s="67"/>
      <c r="CR129" s="67"/>
      <c r="CS129" s="67"/>
      <c r="CT129" s="67"/>
      <c r="CU129" s="67"/>
      <c r="CV129" s="67"/>
      <c r="CW129" s="67"/>
      <c r="CX129" s="67"/>
    </row>
    <row r="130" spans="2:102" s="123" customFormat="1" ht="14.5" x14ac:dyDescent="0.35">
      <c r="B130" s="67"/>
      <c r="C130" s="67"/>
      <c r="D130" s="67"/>
      <c r="E130" s="67"/>
      <c r="F130" s="67"/>
      <c r="G130" s="67"/>
      <c r="H130" s="67"/>
      <c r="I130" s="67"/>
      <c r="J130" s="67"/>
      <c r="K130" s="67"/>
      <c r="L130" s="67"/>
      <c r="M130" s="67"/>
      <c r="N130" s="67"/>
      <c r="O130" s="67"/>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67"/>
      <c r="BO130" s="67"/>
      <c r="BP130" s="67"/>
      <c r="BQ130" s="67"/>
      <c r="BR130" s="67"/>
      <c r="BS130" s="67"/>
      <c r="BT130" s="67"/>
      <c r="BU130" s="67"/>
      <c r="BV130" s="67"/>
      <c r="BW130" s="67"/>
      <c r="BX130" s="67"/>
      <c r="BY130" s="67"/>
      <c r="BZ130" s="67"/>
      <c r="CA130" s="67"/>
      <c r="CB130" s="68"/>
      <c r="CC130" s="68"/>
      <c r="CD130" s="69"/>
      <c r="CE130" s="67"/>
      <c r="CF130" s="68"/>
      <c r="CG130" s="68"/>
      <c r="CH130" s="70"/>
      <c r="CI130" s="67"/>
      <c r="CJ130" s="67"/>
      <c r="CK130" s="67"/>
      <c r="CL130" s="67"/>
      <c r="CM130" s="67"/>
      <c r="CN130" s="67"/>
      <c r="CO130" s="67"/>
      <c r="CP130" s="67"/>
      <c r="CQ130" s="67"/>
      <c r="CR130" s="67"/>
      <c r="CS130" s="67"/>
      <c r="CT130" s="67"/>
      <c r="CU130" s="67"/>
      <c r="CV130" s="67"/>
      <c r="CW130" s="67"/>
      <c r="CX130" s="67"/>
    </row>
    <row r="131" spans="2:102" s="123" customFormat="1" ht="14.5" x14ac:dyDescent="0.35">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67"/>
      <c r="BO131" s="67"/>
      <c r="BP131" s="67"/>
      <c r="BQ131" s="67"/>
      <c r="BR131" s="67"/>
      <c r="BS131" s="67"/>
      <c r="BT131" s="67"/>
      <c r="BU131" s="67"/>
      <c r="BV131" s="67"/>
      <c r="BW131" s="67"/>
      <c r="BX131" s="67"/>
      <c r="BY131" s="67"/>
      <c r="BZ131" s="67"/>
      <c r="CA131" s="67"/>
      <c r="CB131" s="68"/>
      <c r="CC131" s="68"/>
      <c r="CD131" s="69"/>
      <c r="CE131" s="67"/>
      <c r="CF131" s="68"/>
      <c r="CG131" s="68"/>
      <c r="CH131" s="70"/>
      <c r="CI131" s="67"/>
      <c r="CJ131" s="67"/>
      <c r="CK131" s="67"/>
      <c r="CL131" s="67"/>
      <c r="CM131" s="67"/>
      <c r="CN131" s="67"/>
      <c r="CO131" s="67"/>
      <c r="CP131" s="67"/>
      <c r="CQ131" s="67"/>
      <c r="CR131" s="67"/>
      <c r="CS131" s="67"/>
      <c r="CT131" s="67"/>
      <c r="CU131" s="67"/>
      <c r="CV131" s="67"/>
      <c r="CW131" s="67"/>
      <c r="CX131" s="67"/>
    </row>
    <row r="132" spans="2:102" s="123" customFormat="1" ht="14.5" x14ac:dyDescent="0.35">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67"/>
      <c r="BO132" s="67"/>
      <c r="BP132" s="67"/>
      <c r="BQ132" s="67"/>
      <c r="BR132" s="67"/>
      <c r="BS132" s="67"/>
      <c r="BT132" s="67"/>
      <c r="BU132" s="67"/>
      <c r="BV132" s="67"/>
      <c r="BW132" s="67"/>
      <c r="BX132" s="67"/>
      <c r="BY132" s="67"/>
      <c r="BZ132" s="67"/>
      <c r="CA132" s="67"/>
      <c r="CB132" s="68"/>
      <c r="CC132" s="68"/>
      <c r="CD132" s="69"/>
      <c r="CE132" s="67"/>
      <c r="CF132" s="68"/>
      <c r="CG132" s="68"/>
      <c r="CH132" s="70"/>
      <c r="CI132" s="67"/>
      <c r="CJ132" s="67"/>
      <c r="CK132" s="67"/>
      <c r="CL132" s="67"/>
      <c r="CM132" s="67"/>
      <c r="CN132" s="67"/>
      <c r="CO132" s="67"/>
      <c r="CP132" s="67"/>
      <c r="CQ132" s="67"/>
      <c r="CR132" s="67"/>
      <c r="CS132" s="67"/>
      <c r="CT132" s="67"/>
      <c r="CU132" s="67"/>
      <c r="CV132" s="67"/>
      <c r="CW132" s="67"/>
      <c r="CX132" s="67"/>
    </row>
    <row r="133" spans="2:102" s="123" customFormat="1" ht="14.5" x14ac:dyDescent="0.35">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67"/>
      <c r="BO133" s="67"/>
      <c r="BP133" s="67"/>
      <c r="BQ133" s="67"/>
      <c r="BR133" s="67"/>
      <c r="BS133" s="67"/>
      <c r="BT133" s="67"/>
      <c r="BU133" s="67"/>
      <c r="BV133" s="67"/>
      <c r="BW133" s="67"/>
      <c r="BX133" s="67"/>
      <c r="BY133" s="67"/>
      <c r="BZ133" s="67"/>
      <c r="CA133" s="67"/>
      <c r="CB133" s="68"/>
      <c r="CC133" s="68"/>
      <c r="CD133" s="69"/>
      <c r="CE133" s="67"/>
      <c r="CF133" s="68"/>
      <c r="CG133" s="68"/>
      <c r="CH133" s="70"/>
      <c r="CI133" s="67"/>
      <c r="CJ133" s="67"/>
      <c r="CK133" s="67"/>
      <c r="CL133" s="67"/>
      <c r="CM133" s="67"/>
      <c r="CN133" s="67"/>
      <c r="CO133" s="67"/>
      <c r="CP133" s="67"/>
      <c r="CQ133" s="67"/>
      <c r="CR133" s="67"/>
      <c r="CS133" s="67"/>
      <c r="CT133" s="67"/>
      <c r="CU133" s="67"/>
      <c r="CV133" s="67"/>
      <c r="CW133" s="67"/>
      <c r="CX133" s="67"/>
    </row>
    <row r="134" spans="2:102" s="123" customFormat="1" ht="14.5" x14ac:dyDescent="0.35">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67"/>
      <c r="BO134" s="67"/>
      <c r="BP134" s="67"/>
      <c r="BQ134" s="67"/>
      <c r="BR134" s="67"/>
      <c r="BS134" s="67"/>
      <c r="BT134" s="67"/>
      <c r="BU134" s="67"/>
      <c r="BV134" s="67"/>
      <c r="BW134" s="67"/>
      <c r="BX134" s="67"/>
      <c r="BY134" s="67"/>
      <c r="BZ134" s="67"/>
      <c r="CA134" s="67"/>
      <c r="CB134" s="68"/>
      <c r="CC134" s="68"/>
      <c r="CD134" s="69"/>
      <c r="CE134" s="67"/>
      <c r="CF134" s="68"/>
      <c r="CG134" s="68"/>
      <c r="CH134" s="70"/>
      <c r="CI134" s="67"/>
      <c r="CJ134" s="67"/>
      <c r="CK134" s="67"/>
      <c r="CL134" s="67"/>
      <c r="CM134" s="67"/>
      <c r="CN134" s="67"/>
      <c r="CO134" s="67"/>
      <c r="CP134" s="67"/>
      <c r="CQ134" s="67"/>
      <c r="CR134" s="67"/>
      <c r="CS134" s="67"/>
      <c r="CT134" s="67"/>
      <c r="CU134" s="67"/>
      <c r="CV134" s="67"/>
      <c r="CW134" s="67"/>
      <c r="CX134" s="67"/>
    </row>
    <row r="135" spans="2:102" s="123" customFormat="1" ht="14.5" x14ac:dyDescent="0.35">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c r="BN135" s="67"/>
      <c r="BO135" s="67"/>
      <c r="BP135" s="67"/>
      <c r="BQ135" s="67"/>
      <c r="BR135" s="67"/>
      <c r="BS135" s="67"/>
      <c r="BT135" s="67"/>
      <c r="BU135" s="67"/>
      <c r="BV135" s="67"/>
      <c r="BW135" s="67"/>
      <c r="BX135" s="67"/>
      <c r="BY135" s="67"/>
      <c r="BZ135" s="67"/>
      <c r="CA135" s="67"/>
      <c r="CB135" s="68"/>
      <c r="CC135" s="68"/>
      <c r="CD135" s="69"/>
      <c r="CE135" s="67"/>
      <c r="CF135" s="68"/>
      <c r="CG135" s="68"/>
      <c r="CH135" s="70"/>
      <c r="CI135" s="67"/>
      <c r="CJ135" s="67"/>
      <c r="CK135" s="67"/>
      <c r="CL135" s="67"/>
      <c r="CM135" s="67"/>
      <c r="CN135" s="67"/>
      <c r="CO135" s="67"/>
      <c r="CP135" s="67"/>
      <c r="CQ135" s="67"/>
      <c r="CR135" s="67"/>
      <c r="CS135" s="67"/>
      <c r="CT135" s="67"/>
      <c r="CU135" s="67"/>
      <c r="CV135" s="67"/>
      <c r="CW135" s="67"/>
      <c r="CX135" s="67"/>
    </row>
    <row r="136" spans="2:102" s="123" customFormat="1" ht="14.5" x14ac:dyDescent="0.35">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c r="BN136" s="67"/>
      <c r="BO136" s="67"/>
      <c r="BP136" s="67"/>
      <c r="BQ136" s="67"/>
      <c r="BR136" s="67"/>
      <c r="BS136" s="67"/>
      <c r="BT136" s="67"/>
      <c r="BU136" s="67"/>
      <c r="BV136" s="67"/>
      <c r="BW136" s="67"/>
      <c r="BX136" s="67"/>
      <c r="BY136" s="67"/>
      <c r="BZ136" s="67"/>
      <c r="CA136" s="67"/>
      <c r="CB136" s="68"/>
      <c r="CC136" s="68"/>
      <c r="CD136" s="69"/>
      <c r="CE136" s="67"/>
      <c r="CF136" s="68"/>
      <c r="CG136" s="68"/>
      <c r="CH136" s="70"/>
      <c r="CI136" s="67"/>
      <c r="CJ136" s="67"/>
      <c r="CK136" s="67"/>
      <c r="CL136" s="67"/>
      <c r="CM136" s="67"/>
      <c r="CN136" s="67"/>
      <c r="CO136" s="67"/>
      <c r="CP136" s="67"/>
      <c r="CQ136" s="67"/>
      <c r="CR136" s="67"/>
      <c r="CS136" s="67"/>
      <c r="CT136" s="67"/>
      <c r="CU136" s="67"/>
      <c r="CV136" s="67"/>
      <c r="CW136" s="67"/>
      <c r="CX136" s="67"/>
    </row>
    <row r="137" spans="2:102" s="123" customFormat="1" ht="14.5" x14ac:dyDescent="0.35">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c r="BN137" s="67"/>
      <c r="BO137" s="67"/>
      <c r="BP137" s="67"/>
      <c r="BQ137" s="67"/>
      <c r="BR137" s="67"/>
      <c r="BS137" s="67"/>
      <c r="BT137" s="67"/>
      <c r="BU137" s="67"/>
      <c r="BV137" s="67"/>
      <c r="BW137" s="67"/>
      <c r="BX137" s="67"/>
      <c r="BY137" s="67"/>
      <c r="BZ137" s="67"/>
      <c r="CA137" s="67"/>
      <c r="CB137" s="68"/>
      <c r="CC137" s="68"/>
      <c r="CD137" s="69"/>
      <c r="CE137" s="67"/>
      <c r="CF137" s="68"/>
      <c r="CG137" s="68"/>
      <c r="CH137" s="70"/>
      <c r="CI137" s="67"/>
      <c r="CJ137" s="67"/>
      <c r="CK137" s="67"/>
      <c r="CL137" s="67"/>
      <c r="CM137" s="67"/>
      <c r="CN137" s="67"/>
      <c r="CO137" s="67"/>
      <c r="CP137" s="67"/>
      <c r="CQ137" s="67"/>
      <c r="CR137" s="67"/>
      <c r="CS137" s="67"/>
      <c r="CT137" s="67"/>
      <c r="CU137" s="67"/>
      <c r="CV137" s="67"/>
      <c r="CW137" s="67"/>
      <c r="CX137" s="67"/>
    </row>
    <row r="138" spans="2:102" s="123" customFormat="1" ht="14.5" x14ac:dyDescent="0.35">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c r="BN138" s="67"/>
      <c r="BO138" s="67"/>
      <c r="BP138" s="67"/>
      <c r="BQ138" s="67"/>
      <c r="BR138" s="67"/>
      <c r="BS138" s="67"/>
      <c r="BT138" s="67"/>
      <c r="BU138" s="67"/>
      <c r="BV138" s="67"/>
      <c r="BW138" s="67"/>
      <c r="BX138" s="67"/>
      <c r="BY138" s="67"/>
      <c r="BZ138" s="67"/>
      <c r="CA138" s="67"/>
      <c r="CB138" s="68"/>
      <c r="CC138" s="68"/>
      <c r="CD138" s="69"/>
      <c r="CE138" s="67"/>
      <c r="CF138" s="68"/>
      <c r="CG138" s="68"/>
      <c r="CH138" s="70"/>
      <c r="CI138" s="67"/>
      <c r="CJ138" s="67"/>
      <c r="CK138" s="67"/>
      <c r="CL138" s="67"/>
      <c r="CM138" s="67"/>
      <c r="CN138" s="67"/>
      <c r="CO138" s="67"/>
      <c r="CP138" s="67"/>
      <c r="CQ138" s="67"/>
      <c r="CR138" s="67"/>
      <c r="CS138" s="67"/>
      <c r="CT138" s="67"/>
      <c r="CU138" s="67"/>
      <c r="CV138" s="67"/>
      <c r="CW138" s="67"/>
      <c r="CX138" s="67"/>
    </row>
    <row r="139" spans="2:102" s="123" customFormat="1" ht="14.5" x14ac:dyDescent="0.35">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c r="BN139" s="67"/>
      <c r="BO139" s="67"/>
      <c r="BP139" s="67"/>
      <c r="BQ139" s="67"/>
      <c r="BR139" s="67"/>
      <c r="BS139" s="67"/>
      <c r="BT139" s="67"/>
      <c r="BU139" s="67"/>
      <c r="BV139" s="67"/>
      <c r="BW139" s="67"/>
      <c r="BX139" s="67"/>
      <c r="BY139" s="67"/>
      <c r="BZ139" s="67"/>
      <c r="CA139" s="67"/>
      <c r="CB139" s="68"/>
      <c r="CC139" s="68"/>
      <c r="CD139" s="69"/>
      <c r="CE139" s="67"/>
      <c r="CF139" s="68"/>
      <c r="CG139" s="68"/>
      <c r="CH139" s="70"/>
      <c r="CI139" s="67"/>
      <c r="CJ139" s="67"/>
      <c r="CK139" s="67"/>
      <c r="CL139" s="67"/>
      <c r="CM139" s="67"/>
      <c r="CN139" s="67"/>
      <c r="CO139" s="67"/>
      <c r="CP139" s="67"/>
      <c r="CQ139" s="67"/>
      <c r="CR139" s="67"/>
      <c r="CS139" s="67"/>
      <c r="CT139" s="67"/>
      <c r="CU139" s="67"/>
      <c r="CV139" s="67"/>
      <c r="CW139" s="67"/>
      <c r="CX139" s="67"/>
    </row>
    <row r="140" spans="2:102" s="123" customFormat="1" ht="14.5" x14ac:dyDescent="0.35">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c r="BN140" s="67"/>
      <c r="BO140" s="67"/>
      <c r="BP140" s="67"/>
      <c r="BQ140" s="67"/>
      <c r="BR140" s="67"/>
      <c r="BS140" s="67"/>
      <c r="BT140" s="67"/>
      <c r="BU140" s="67"/>
      <c r="BV140" s="67"/>
      <c r="BW140" s="67"/>
      <c r="BX140" s="67"/>
      <c r="BY140" s="67"/>
      <c r="BZ140" s="67"/>
      <c r="CA140" s="67"/>
      <c r="CB140" s="68"/>
      <c r="CC140" s="68"/>
      <c r="CD140" s="69"/>
      <c r="CE140" s="67"/>
      <c r="CF140" s="68"/>
      <c r="CG140" s="68"/>
      <c r="CH140" s="70"/>
      <c r="CI140" s="67"/>
      <c r="CJ140" s="67"/>
      <c r="CK140" s="67"/>
      <c r="CL140" s="67"/>
      <c r="CM140" s="67"/>
      <c r="CN140" s="67"/>
      <c r="CO140" s="67"/>
      <c r="CP140" s="67"/>
      <c r="CQ140" s="67"/>
      <c r="CR140" s="67"/>
      <c r="CS140" s="67"/>
      <c r="CT140" s="67"/>
      <c r="CU140" s="67"/>
      <c r="CV140" s="67"/>
      <c r="CW140" s="67"/>
      <c r="CX140" s="67"/>
    </row>
    <row r="141" spans="2:102" s="123" customFormat="1" ht="14.5" x14ac:dyDescent="0.35">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c r="BN141" s="67"/>
      <c r="BO141" s="67"/>
      <c r="BP141" s="67"/>
      <c r="BQ141" s="67"/>
      <c r="BR141" s="67"/>
      <c r="BS141" s="67"/>
      <c r="BT141" s="67"/>
      <c r="BU141" s="67"/>
      <c r="BV141" s="67"/>
      <c r="BW141" s="67"/>
      <c r="BX141" s="67"/>
      <c r="BY141" s="67"/>
      <c r="BZ141" s="67"/>
      <c r="CA141" s="67"/>
      <c r="CB141" s="68"/>
      <c r="CC141" s="68"/>
      <c r="CD141" s="69"/>
      <c r="CE141" s="67"/>
      <c r="CF141" s="68"/>
      <c r="CG141" s="68"/>
      <c r="CH141" s="70"/>
      <c r="CI141" s="67"/>
      <c r="CJ141" s="67"/>
      <c r="CK141" s="67"/>
      <c r="CL141" s="67"/>
      <c r="CM141" s="67"/>
      <c r="CN141" s="67"/>
      <c r="CO141" s="67"/>
      <c r="CP141" s="67"/>
      <c r="CQ141" s="67"/>
      <c r="CR141" s="67"/>
      <c r="CS141" s="67"/>
      <c r="CT141" s="67"/>
      <c r="CU141" s="67"/>
      <c r="CV141" s="67"/>
      <c r="CW141" s="67"/>
      <c r="CX141" s="67"/>
    </row>
    <row r="142" spans="2:102" s="123" customFormat="1" ht="14.5" x14ac:dyDescent="0.35">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c r="BJ142" s="146"/>
      <c r="BK142" s="146"/>
      <c r="BL142" s="146"/>
      <c r="BM142" s="146"/>
      <c r="BN142" s="67"/>
      <c r="BO142" s="67"/>
      <c r="BP142" s="67"/>
      <c r="BQ142" s="67"/>
      <c r="BR142" s="67"/>
      <c r="BS142" s="67"/>
      <c r="BT142" s="67"/>
      <c r="BU142" s="67"/>
      <c r="BV142" s="67"/>
      <c r="BW142" s="67"/>
      <c r="BX142" s="67"/>
      <c r="BY142" s="67"/>
      <c r="BZ142" s="67"/>
      <c r="CA142" s="67"/>
      <c r="CB142" s="68"/>
      <c r="CC142" s="68"/>
      <c r="CD142" s="69"/>
      <c r="CE142" s="67"/>
      <c r="CF142" s="68"/>
      <c r="CG142" s="68"/>
      <c r="CH142" s="70"/>
      <c r="CI142" s="67"/>
      <c r="CJ142" s="67"/>
      <c r="CK142" s="67"/>
      <c r="CL142" s="67"/>
      <c r="CM142" s="67"/>
      <c r="CN142" s="67"/>
      <c r="CO142" s="67"/>
      <c r="CP142" s="67"/>
      <c r="CQ142" s="67"/>
      <c r="CR142" s="67"/>
      <c r="CS142" s="67"/>
      <c r="CT142" s="67"/>
      <c r="CU142" s="67"/>
      <c r="CV142" s="67"/>
      <c r="CW142" s="67"/>
      <c r="CX142" s="67"/>
    </row>
    <row r="143" spans="2:102" s="123" customFormat="1" ht="14.5" x14ac:dyDescent="0.35">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67"/>
      <c r="BO143" s="67"/>
      <c r="BP143" s="67"/>
      <c r="BQ143" s="67"/>
      <c r="BR143" s="67"/>
      <c r="BS143" s="67"/>
      <c r="BT143" s="67"/>
      <c r="BU143" s="67"/>
      <c r="BV143" s="67"/>
      <c r="BW143" s="67"/>
      <c r="BX143" s="67"/>
      <c r="BY143" s="67"/>
      <c r="BZ143" s="67"/>
      <c r="CA143" s="67"/>
      <c r="CB143" s="68"/>
      <c r="CC143" s="68"/>
      <c r="CD143" s="69"/>
      <c r="CE143" s="67"/>
      <c r="CF143" s="68"/>
      <c r="CG143" s="68"/>
      <c r="CH143" s="70"/>
      <c r="CI143" s="67"/>
      <c r="CJ143" s="67"/>
      <c r="CK143" s="67"/>
      <c r="CL143" s="67"/>
      <c r="CM143" s="67"/>
      <c r="CN143" s="67"/>
      <c r="CO143" s="67"/>
      <c r="CP143" s="67"/>
      <c r="CQ143" s="67"/>
      <c r="CR143" s="67"/>
      <c r="CS143" s="67"/>
      <c r="CT143" s="67"/>
      <c r="CU143" s="67"/>
      <c r="CV143" s="67"/>
      <c r="CW143" s="67"/>
      <c r="CX143" s="67"/>
    </row>
    <row r="144" spans="2:102" s="123" customFormat="1" ht="14.5" x14ac:dyDescent="0.35">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c r="BJ144" s="146"/>
      <c r="BK144" s="146"/>
      <c r="BL144" s="146"/>
      <c r="BM144" s="146"/>
      <c r="BN144" s="67"/>
      <c r="BO144" s="67"/>
      <c r="BP144" s="67"/>
      <c r="BQ144" s="67"/>
      <c r="BR144" s="67"/>
      <c r="BS144" s="67"/>
      <c r="BT144" s="67"/>
      <c r="BU144" s="67"/>
      <c r="BV144" s="67"/>
      <c r="BW144" s="67"/>
      <c r="BX144" s="67"/>
      <c r="BY144" s="67"/>
      <c r="BZ144" s="67"/>
      <c r="CA144" s="67"/>
      <c r="CB144" s="68"/>
      <c r="CC144" s="68"/>
      <c r="CD144" s="69"/>
      <c r="CE144" s="67"/>
      <c r="CF144" s="68"/>
      <c r="CG144" s="68"/>
      <c r="CH144" s="70"/>
      <c r="CI144" s="67"/>
      <c r="CJ144" s="67"/>
      <c r="CK144" s="67"/>
      <c r="CL144" s="67"/>
      <c r="CM144" s="67"/>
      <c r="CN144" s="67"/>
      <c r="CO144" s="67"/>
      <c r="CP144" s="67"/>
      <c r="CQ144" s="67"/>
      <c r="CR144" s="67"/>
      <c r="CS144" s="67"/>
      <c r="CT144" s="67"/>
      <c r="CU144" s="67"/>
      <c r="CV144" s="67"/>
      <c r="CW144" s="67"/>
      <c r="CX144" s="67"/>
    </row>
    <row r="145" spans="3:102" s="123" customFormat="1" ht="14.5" x14ac:dyDescent="0.35">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67"/>
      <c r="BO145" s="67"/>
      <c r="BP145" s="67"/>
      <c r="BQ145" s="67"/>
      <c r="BR145" s="67"/>
      <c r="BS145" s="67"/>
      <c r="BT145" s="67"/>
      <c r="BU145" s="67"/>
      <c r="BV145" s="67"/>
      <c r="BW145" s="67"/>
      <c r="BX145" s="67"/>
      <c r="BY145" s="67"/>
      <c r="BZ145" s="67"/>
      <c r="CA145" s="67"/>
      <c r="CB145" s="68"/>
      <c r="CC145" s="68"/>
      <c r="CD145" s="69"/>
      <c r="CE145" s="67"/>
      <c r="CF145" s="68"/>
      <c r="CG145" s="68"/>
      <c r="CH145" s="70"/>
      <c r="CI145" s="67"/>
      <c r="CJ145" s="67"/>
      <c r="CK145" s="67"/>
      <c r="CL145" s="67"/>
      <c r="CM145" s="67"/>
      <c r="CN145" s="67"/>
      <c r="CO145" s="67"/>
      <c r="CP145" s="67"/>
      <c r="CQ145" s="67"/>
      <c r="CR145" s="67"/>
      <c r="CS145" s="67"/>
      <c r="CT145" s="67"/>
      <c r="CU145" s="67"/>
      <c r="CV145" s="67"/>
      <c r="CW145" s="67"/>
      <c r="CX145" s="67"/>
    </row>
    <row r="146" spans="3:102" s="123" customFormat="1" ht="14.5" x14ac:dyDescent="0.35">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c r="BJ146" s="146"/>
      <c r="BK146" s="146"/>
      <c r="BL146" s="146"/>
      <c r="BM146" s="146"/>
      <c r="BN146" s="67"/>
      <c r="BO146" s="67"/>
      <c r="BP146" s="67"/>
      <c r="BQ146" s="67"/>
      <c r="BR146" s="67"/>
      <c r="BS146" s="67"/>
      <c r="BT146" s="67"/>
      <c r="BU146" s="67"/>
      <c r="BV146" s="67"/>
      <c r="BW146" s="67"/>
      <c r="BX146" s="67"/>
      <c r="BY146" s="67"/>
      <c r="BZ146" s="67"/>
      <c r="CA146" s="67"/>
      <c r="CB146" s="67"/>
      <c r="CC146" s="67"/>
      <c r="CD146" s="67"/>
      <c r="CE146" s="67"/>
      <c r="CF146" s="67"/>
      <c r="CG146" s="67"/>
      <c r="CH146" s="67"/>
      <c r="CI146" s="67"/>
      <c r="CJ146" s="67"/>
      <c r="CK146" s="67"/>
      <c r="CL146" s="67"/>
      <c r="CM146" s="67"/>
      <c r="CN146" s="67"/>
      <c r="CO146" s="67"/>
      <c r="CP146" s="67"/>
      <c r="CQ146" s="67"/>
      <c r="CR146" s="67"/>
      <c r="CS146" s="67"/>
      <c r="CT146" s="67"/>
      <c r="CU146" s="67"/>
      <c r="CV146" s="67"/>
      <c r="CW146" s="67"/>
      <c r="CX146" s="67"/>
    </row>
    <row r="147" spans="3:102" s="123" customFormat="1" ht="14.5" x14ac:dyDescent="0.35">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c r="BJ147" s="146"/>
      <c r="BK147" s="146"/>
      <c r="BL147" s="146"/>
      <c r="BM147" s="146"/>
      <c r="BN147" s="67"/>
      <c r="BO147" s="67"/>
      <c r="BP147" s="67"/>
      <c r="BQ147" s="67"/>
      <c r="BR147" s="67"/>
      <c r="BS147" s="67"/>
      <c r="BT147" s="67"/>
      <c r="BU147" s="67"/>
      <c r="BV147" s="67"/>
      <c r="BW147" s="67"/>
      <c r="BX147" s="67"/>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row>
    <row r="148" spans="3:102" s="123" customFormat="1" ht="14.5" x14ac:dyDescent="0.35">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67"/>
      <c r="BO148" s="67"/>
      <c r="BP148" s="67"/>
      <c r="BQ148" s="67"/>
      <c r="BR148" s="67"/>
      <c r="BS148" s="67"/>
      <c r="BT148" s="67"/>
      <c r="BU148" s="67"/>
      <c r="BV148" s="67"/>
      <c r="BW148" s="67"/>
      <c r="BX148" s="67"/>
      <c r="BY148" s="67"/>
      <c r="BZ148" s="67"/>
      <c r="CA148" s="67"/>
      <c r="CB148" s="67"/>
      <c r="CC148" s="67"/>
      <c r="CD148" s="67"/>
      <c r="CE148" s="67"/>
      <c r="CF148" s="67"/>
      <c r="CG148" s="67"/>
      <c r="CH148" s="67"/>
      <c r="CI148" s="67"/>
      <c r="CJ148" s="67"/>
      <c r="CK148" s="67"/>
      <c r="CL148" s="67"/>
      <c r="CM148" s="67"/>
      <c r="CN148" s="67"/>
      <c r="CO148" s="67"/>
      <c r="CP148" s="67"/>
      <c r="CQ148" s="67"/>
      <c r="CR148" s="67"/>
      <c r="CS148" s="67"/>
      <c r="CT148" s="67"/>
      <c r="CU148" s="67"/>
      <c r="CV148" s="67"/>
      <c r="CW148" s="67"/>
      <c r="CX148" s="67"/>
    </row>
    <row r="149" spans="3:102" s="123" customFormat="1" ht="14.5" x14ac:dyDescent="0.35">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67"/>
      <c r="BO149" s="67"/>
      <c r="BP149" s="67"/>
      <c r="BQ149" s="67"/>
      <c r="BR149" s="67"/>
      <c r="BS149" s="67"/>
      <c r="BT149" s="67"/>
      <c r="BU149" s="67"/>
      <c r="BV149" s="67"/>
      <c r="BW149" s="67"/>
      <c r="BX149" s="67"/>
      <c r="BY149" s="67"/>
      <c r="BZ149" s="67"/>
      <c r="CA149" s="67"/>
      <c r="CB149" s="67"/>
      <c r="CC149" s="67"/>
      <c r="CD149" s="67"/>
      <c r="CE149" s="67"/>
      <c r="CF149" s="67"/>
      <c r="CG149" s="67"/>
      <c r="CH149" s="67"/>
      <c r="CI149" s="67"/>
      <c r="CJ149" s="67"/>
      <c r="CK149" s="67"/>
      <c r="CL149" s="67"/>
      <c r="CM149" s="67"/>
      <c r="CN149" s="67"/>
      <c r="CO149" s="67"/>
      <c r="CP149" s="67"/>
      <c r="CQ149" s="67"/>
      <c r="CR149" s="67"/>
      <c r="CS149" s="67"/>
      <c r="CT149" s="67"/>
      <c r="CU149" s="67"/>
      <c r="CV149" s="67"/>
      <c r="CW149" s="67"/>
      <c r="CX149" s="67"/>
    </row>
    <row r="150" spans="3:102" s="123" customFormat="1" ht="14.5" x14ac:dyDescent="0.35">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67"/>
      <c r="BO150" s="67"/>
      <c r="BP150" s="67"/>
      <c r="BQ150" s="67"/>
      <c r="BR150" s="67"/>
      <c r="BS150" s="67"/>
      <c r="BT150" s="67"/>
      <c r="BU150" s="67"/>
      <c r="BV150" s="67"/>
      <c r="BW150" s="67"/>
      <c r="BX150" s="67"/>
      <c r="BY150" s="67"/>
      <c r="BZ150" s="67"/>
      <c r="CA150" s="67"/>
      <c r="CB150" s="67"/>
      <c r="CC150" s="67"/>
      <c r="CD150" s="67"/>
      <c r="CE150" s="67"/>
      <c r="CF150" s="67"/>
      <c r="CG150" s="67"/>
      <c r="CH150" s="67"/>
      <c r="CI150" s="67"/>
      <c r="CJ150" s="67"/>
      <c r="CK150" s="67"/>
      <c r="CL150" s="67"/>
      <c r="CM150" s="67"/>
      <c r="CN150" s="67"/>
      <c r="CO150" s="67"/>
      <c r="CP150" s="67"/>
      <c r="CQ150" s="67"/>
      <c r="CR150" s="67"/>
      <c r="CS150" s="67"/>
      <c r="CT150" s="67"/>
      <c r="CU150" s="67"/>
      <c r="CV150" s="67"/>
      <c r="CW150" s="67"/>
      <c r="CX150" s="67"/>
    </row>
    <row r="151" spans="3:102" s="123" customFormat="1" ht="14.5" x14ac:dyDescent="0.35">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67"/>
      <c r="BO151" s="67"/>
      <c r="BP151" s="67"/>
      <c r="BQ151" s="67"/>
      <c r="BR151" s="67"/>
      <c r="BS151" s="67"/>
      <c r="BT151" s="67"/>
      <c r="BU151" s="67"/>
      <c r="BV151" s="67"/>
      <c r="BW151" s="67"/>
      <c r="BX151" s="67"/>
      <c r="BY151" s="67"/>
      <c r="BZ151" s="67"/>
      <c r="CA151" s="67"/>
      <c r="CB151" s="67"/>
      <c r="CC151" s="67"/>
      <c r="CD151" s="67"/>
      <c r="CE151" s="67"/>
      <c r="CF151" s="67"/>
      <c r="CG151" s="67"/>
      <c r="CH151" s="67"/>
      <c r="CI151" s="67"/>
      <c r="CJ151" s="67"/>
      <c r="CK151" s="67"/>
      <c r="CL151" s="67"/>
      <c r="CM151" s="67"/>
      <c r="CN151" s="67"/>
      <c r="CO151" s="67"/>
      <c r="CP151" s="67"/>
      <c r="CQ151" s="67"/>
      <c r="CR151" s="67"/>
      <c r="CS151" s="67"/>
      <c r="CT151" s="67"/>
      <c r="CU151" s="67"/>
      <c r="CV151" s="67"/>
      <c r="CW151" s="67"/>
      <c r="CX151" s="67"/>
    </row>
    <row r="152" spans="3:102" s="123" customFormat="1" ht="14.5" x14ac:dyDescent="0.35">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67"/>
      <c r="BO152" s="67"/>
      <c r="BP152" s="67"/>
      <c r="BQ152" s="67"/>
      <c r="BR152" s="67"/>
      <c r="BS152" s="67"/>
      <c r="BT152" s="67"/>
      <c r="BU152" s="67"/>
      <c r="BV152" s="67"/>
      <c r="BW152" s="67"/>
      <c r="BX152" s="67"/>
      <c r="BY152" s="67"/>
      <c r="BZ152" s="67"/>
      <c r="CA152" s="67"/>
      <c r="CB152" s="67"/>
      <c r="CC152" s="67"/>
      <c r="CD152" s="67"/>
      <c r="CE152" s="67"/>
      <c r="CF152" s="67"/>
      <c r="CG152" s="67"/>
      <c r="CH152" s="67"/>
      <c r="CI152" s="67"/>
      <c r="CJ152" s="67"/>
      <c r="CK152" s="67"/>
      <c r="CL152" s="67"/>
      <c r="CM152" s="67"/>
      <c r="CN152" s="67"/>
      <c r="CO152" s="67"/>
      <c r="CP152" s="67"/>
      <c r="CQ152" s="67"/>
      <c r="CR152" s="67"/>
      <c r="CS152" s="67"/>
      <c r="CT152" s="67"/>
      <c r="CU152" s="67"/>
      <c r="CV152" s="67"/>
      <c r="CW152" s="67"/>
      <c r="CX152" s="67"/>
    </row>
    <row r="153" spans="3:102" s="123" customFormat="1" ht="14.5" x14ac:dyDescent="0.35">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6"/>
      <c r="BN153" s="67"/>
      <c r="BO153" s="67"/>
      <c r="BP153" s="67"/>
      <c r="BQ153" s="67"/>
      <c r="BR153" s="67"/>
      <c r="BS153" s="67"/>
      <c r="BT153" s="67"/>
      <c r="BU153" s="67"/>
      <c r="BV153" s="67"/>
      <c r="BW153" s="67"/>
      <c r="BX153" s="67"/>
      <c r="BY153" s="67"/>
      <c r="BZ153" s="67"/>
      <c r="CA153" s="67"/>
      <c r="CB153" s="67"/>
      <c r="CC153" s="67"/>
      <c r="CD153" s="67"/>
      <c r="CE153" s="67"/>
      <c r="CF153" s="67"/>
      <c r="CG153" s="67"/>
      <c r="CH153" s="67"/>
      <c r="CI153" s="67"/>
      <c r="CJ153" s="67"/>
      <c r="CK153" s="67"/>
      <c r="CL153" s="67"/>
      <c r="CM153" s="67"/>
      <c r="CN153" s="67"/>
      <c r="CO153" s="67"/>
      <c r="CP153" s="67"/>
      <c r="CQ153" s="67"/>
      <c r="CR153" s="67"/>
      <c r="CS153" s="67"/>
      <c r="CT153" s="67"/>
      <c r="CU153" s="67"/>
      <c r="CV153" s="67"/>
      <c r="CW153" s="67"/>
      <c r="CX153" s="67"/>
    </row>
    <row r="154" spans="3:102" s="123" customFormat="1" ht="14.5" x14ac:dyDescent="0.35">
      <c r="G154" s="123" t="str">
        <f t="shared" ref="G154:G160" ca="1" si="222">AD108</f>
        <v/>
      </c>
      <c r="K154" s="123" t="str">
        <f t="shared" ref="K154:K160" si="223">AF108</f>
        <v/>
      </c>
      <c r="M154" s="123" t="str">
        <f t="shared" ref="M154:M160" si="224">AG108</f>
        <v/>
      </c>
      <c r="O154" s="123" t="str">
        <f t="shared" ref="O154:O160" si="225">AH112</f>
        <v/>
      </c>
      <c r="P154" s="146"/>
      <c r="Q154" s="146" t="str">
        <f t="shared" ref="Q154:Q160" ca="1" si="226">IF(G154="","",IF(ISERR(G154)=TRUE,"",IF(G154&lt;0,"",IF(G154=0,G154,IF(AI94&lt;AA104,AI94,AA104)))))</f>
        <v/>
      </c>
      <c r="R154" s="146" t="str">
        <f t="shared" ref="R154:R160" si="227">IF(K154="","",IF(ISERR(K154)=TRUE,"",IF(K154&lt;=0,"",IF(T91&lt;($AF$80*AB108*$E$12/100),T91,(AB108*$AF$80*$E$12/100)))))</f>
        <v/>
      </c>
      <c r="S154" s="146" t="str">
        <f t="shared" ref="S154:S160" si="228">IF(ISERR(R154)=TRUE,"",IF(ISERR(R154/$M$67)=TRUE,"",R154*100/$M$67))</f>
        <v/>
      </c>
      <c r="T154" s="146" t="str">
        <f t="shared" ca="1" si="200"/>
        <v/>
      </c>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67"/>
      <c r="BO154" s="67"/>
      <c r="BP154" s="67"/>
      <c r="BQ154" s="67"/>
      <c r="BR154" s="67"/>
      <c r="BS154" s="67"/>
      <c r="BT154" s="67"/>
      <c r="BU154" s="67"/>
      <c r="BV154" s="67"/>
      <c r="BW154" s="67"/>
      <c r="BX154" s="67"/>
      <c r="BY154" s="67"/>
      <c r="BZ154" s="67"/>
      <c r="CA154" s="67"/>
      <c r="CB154" s="67"/>
      <c r="CC154" s="67"/>
      <c r="CD154" s="67"/>
      <c r="CE154" s="67"/>
      <c r="CF154" s="67"/>
      <c r="CG154" s="67"/>
      <c r="CH154" s="67"/>
      <c r="CI154" s="67"/>
      <c r="CJ154" s="67"/>
      <c r="CK154" s="67"/>
      <c r="CL154" s="67"/>
      <c r="CM154" s="67"/>
      <c r="CN154" s="67"/>
      <c r="CO154" s="67"/>
      <c r="CP154" s="67"/>
      <c r="CQ154" s="67"/>
      <c r="CR154" s="67"/>
      <c r="CS154" s="67"/>
      <c r="CT154" s="67"/>
      <c r="CU154" s="67"/>
      <c r="CV154" s="67"/>
      <c r="CW154" s="67"/>
      <c r="CX154" s="67"/>
    </row>
    <row r="155" spans="3:102" s="123" customFormat="1" ht="14.5" x14ac:dyDescent="0.35">
      <c r="G155" s="123" t="str">
        <f t="shared" ca="1" si="222"/>
        <v/>
      </c>
      <c r="K155" s="123" t="str">
        <f t="shared" si="223"/>
        <v/>
      </c>
      <c r="M155" s="123" t="str">
        <f t="shared" si="224"/>
        <v/>
      </c>
      <c r="O155" s="123" t="str">
        <f t="shared" si="225"/>
        <v/>
      </c>
      <c r="P155" s="146"/>
      <c r="Q155" s="146" t="str">
        <f t="shared" ca="1" si="226"/>
        <v/>
      </c>
      <c r="R155" s="146" t="str">
        <f t="shared" si="227"/>
        <v/>
      </c>
      <c r="S155" s="146" t="str">
        <f t="shared" si="228"/>
        <v/>
      </c>
      <c r="T155" s="146" t="str">
        <f t="shared" ca="1" si="200"/>
        <v/>
      </c>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67"/>
      <c r="BO155" s="67"/>
      <c r="BP155" s="67"/>
      <c r="BQ155" s="67"/>
      <c r="BR155" s="67"/>
      <c r="BS155" s="67"/>
      <c r="BT155" s="67"/>
      <c r="BU155" s="67"/>
      <c r="BV155" s="67"/>
      <c r="BW155" s="67"/>
      <c r="BX155" s="67"/>
      <c r="BY155" s="67"/>
      <c r="BZ155" s="67"/>
      <c r="CA155" s="67"/>
      <c r="CB155" s="67"/>
      <c r="CC155" s="67"/>
      <c r="CD155" s="67"/>
      <c r="CE155" s="67"/>
      <c r="CF155" s="67"/>
      <c r="CG155" s="67"/>
      <c r="CH155" s="67"/>
      <c r="CI155" s="67"/>
      <c r="CJ155" s="67"/>
      <c r="CK155" s="67"/>
      <c r="CL155" s="67"/>
      <c r="CM155" s="67"/>
      <c r="CN155" s="67"/>
      <c r="CO155" s="67"/>
      <c r="CP155" s="67"/>
      <c r="CQ155" s="67"/>
      <c r="CR155" s="67"/>
      <c r="CS155" s="67"/>
      <c r="CT155" s="67"/>
      <c r="CU155" s="67"/>
      <c r="CV155" s="67"/>
      <c r="CW155" s="67"/>
      <c r="CX155" s="67"/>
    </row>
    <row r="156" spans="3:102" s="123" customFormat="1" ht="14.5" x14ac:dyDescent="0.35">
      <c r="G156" s="123" t="str">
        <f t="shared" ca="1" si="222"/>
        <v/>
      </c>
      <c r="K156" s="123" t="str">
        <f t="shared" si="223"/>
        <v/>
      </c>
      <c r="M156" s="123" t="str">
        <f t="shared" si="224"/>
        <v/>
      </c>
      <c r="O156" s="123" t="str">
        <f t="shared" si="225"/>
        <v/>
      </c>
      <c r="P156" s="146"/>
      <c r="Q156" s="146" t="str">
        <f t="shared" ca="1" si="226"/>
        <v/>
      </c>
      <c r="R156" s="146" t="str">
        <f t="shared" si="227"/>
        <v/>
      </c>
      <c r="S156" s="146" t="str">
        <f t="shared" si="228"/>
        <v/>
      </c>
      <c r="T156" s="146" t="str">
        <f t="shared" ca="1" si="200"/>
        <v/>
      </c>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67"/>
      <c r="BO156" s="67"/>
      <c r="BP156" s="67"/>
      <c r="BQ156" s="67"/>
      <c r="BR156" s="67"/>
      <c r="BS156" s="67"/>
      <c r="BT156" s="67"/>
      <c r="BU156" s="67"/>
      <c r="BV156" s="67"/>
      <c r="BW156" s="67"/>
      <c r="BX156" s="67"/>
      <c r="BY156" s="67"/>
      <c r="BZ156" s="67"/>
      <c r="CA156" s="67"/>
      <c r="CB156" s="67"/>
      <c r="CC156" s="67"/>
      <c r="CD156" s="67"/>
      <c r="CE156" s="67"/>
      <c r="CF156" s="67"/>
      <c r="CG156" s="67"/>
      <c r="CH156" s="67"/>
      <c r="CI156" s="67"/>
      <c r="CJ156" s="67"/>
      <c r="CK156" s="67"/>
      <c r="CL156" s="67"/>
      <c r="CM156" s="67"/>
      <c r="CN156" s="67"/>
      <c r="CO156" s="67"/>
      <c r="CP156" s="67"/>
      <c r="CQ156" s="67"/>
      <c r="CR156" s="67"/>
      <c r="CS156" s="67"/>
      <c r="CT156" s="67"/>
      <c r="CU156" s="67"/>
      <c r="CV156" s="67"/>
      <c r="CW156" s="67"/>
      <c r="CX156" s="67"/>
    </row>
    <row r="157" spans="3:102" s="123" customFormat="1" ht="14.5" x14ac:dyDescent="0.35">
      <c r="C157" s="123" t="e">
        <f>IF(#REF!=10,"","ttt")</f>
        <v>#REF!</v>
      </c>
      <c r="G157" s="123" t="str">
        <f t="shared" ca="1" si="222"/>
        <v/>
      </c>
      <c r="K157" s="123" t="str">
        <f t="shared" si="223"/>
        <v/>
      </c>
      <c r="M157" s="123" t="str">
        <f t="shared" si="224"/>
        <v/>
      </c>
      <c r="O157" s="123" t="str">
        <f t="shared" si="225"/>
        <v/>
      </c>
      <c r="P157" s="146"/>
      <c r="Q157" s="146" t="str">
        <f t="shared" ca="1" si="226"/>
        <v/>
      </c>
      <c r="R157" s="146" t="str">
        <f t="shared" si="227"/>
        <v/>
      </c>
      <c r="S157" s="146" t="str">
        <f t="shared" si="228"/>
        <v/>
      </c>
      <c r="T157" s="146" t="str">
        <f t="shared" ca="1" si="200"/>
        <v/>
      </c>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67"/>
      <c r="BO157" s="67"/>
      <c r="BP157" s="67"/>
      <c r="BQ157" s="67"/>
      <c r="BR157" s="67"/>
      <c r="BS157" s="67"/>
      <c r="BT157" s="67"/>
      <c r="BU157" s="67"/>
      <c r="BV157" s="67"/>
      <c r="BW157" s="67"/>
      <c r="BX157" s="67"/>
      <c r="BY157" s="67"/>
      <c r="BZ157" s="67"/>
      <c r="CA157" s="67"/>
      <c r="CB157" s="67"/>
      <c r="CC157" s="67"/>
      <c r="CD157" s="67"/>
      <c r="CE157" s="67"/>
      <c r="CF157" s="67"/>
      <c r="CG157" s="67"/>
      <c r="CH157" s="67"/>
      <c r="CI157" s="67"/>
      <c r="CJ157" s="67"/>
      <c r="CK157" s="67"/>
      <c r="CL157" s="67"/>
      <c r="CM157" s="67"/>
      <c r="CN157" s="67"/>
      <c r="CO157" s="67"/>
      <c r="CP157" s="67"/>
      <c r="CQ157" s="67"/>
      <c r="CR157" s="67"/>
      <c r="CS157" s="67"/>
      <c r="CT157" s="67"/>
      <c r="CU157" s="67"/>
      <c r="CV157" s="67"/>
      <c r="CW157" s="67"/>
      <c r="CX157" s="67"/>
    </row>
    <row r="158" spans="3:102" s="123" customFormat="1" ht="14.5" x14ac:dyDescent="0.35">
      <c r="G158" s="123" t="str">
        <f t="shared" ca="1" si="222"/>
        <v/>
      </c>
      <c r="K158" s="123" t="str">
        <f t="shared" si="223"/>
        <v/>
      </c>
      <c r="M158" s="123" t="str">
        <f t="shared" si="224"/>
        <v/>
      </c>
      <c r="O158" s="123" t="str">
        <f t="shared" si="225"/>
        <v/>
      </c>
      <c r="P158" s="146"/>
      <c r="Q158" s="146" t="str">
        <f t="shared" ca="1" si="226"/>
        <v/>
      </c>
      <c r="R158" s="146" t="str">
        <f t="shared" si="227"/>
        <v/>
      </c>
      <c r="S158" s="146" t="str">
        <f t="shared" si="228"/>
        <v/>
      </c>
      <c r="T158" s="146" t="str">
        <f t="shared" ca="1" si="200"/>
        <v/>
      </c>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67"/>
      <c r="BO158" s="67"/>
      <c r="BP158" s="67"/>
      <c r="BQ158" s="67"/>
      <c r="BR158" s="67"/>
      <c r="BS158" s="67"/>
      <c r="BT158" s="67"/>
      <c r="BU158" s="67"/>
      <c r="BV158" s="67"/>
      <c r="BW158" s="67"/>
      <c r="BX158" s="67"/>
      <c r="BY158" s="67"/>
      <c r="BZ158" s="67"/>
      <c r="CA158" s="67"/>
      <c r="CB158" s="67"/>
      <c r="CC158" s="67"/>
      <c r="CD158" s="67"/>
      <c r="CE158" s="67"/>
      <c r="CF158" s="67"/>
      <c r="CG158" s="67"/>
      <c r="CH158" s="67"/>
      <c r="CI158" s="67"/>
      <c r="CJ158" s="67"/>
      <c r="CK158" s="67"/>
      <c r="CL158" s="67"/>
      <c r="CM158" s="67"/>
      <c r="CN158" s="67"/>
      <c r="CO158" s="67"/>
      <c r="CP158" s="67"/>
      <c r="CQ158" s="67"/>
      <c r="CR158" s="67"/>
      <c r="CS158" s="67"/>
      <c r="CT158" s="67"/>
      <c r="CU158" s="67"/>
      <c r="CV158" s="67"/>
      <c r="CW158" s="67"/>
      <c r="CX158" s="67"/>
    </row>
    <row r="159" spans="3:102" s="123" customFormat="1" ht="14.5" x14ac:dyDescent="0.35">
      <c r="G159" s="123" t="str">
        <f t="shared" ca="1" si="222"/>
        <v/>
      </c>
      <c r="K159" s="123" t="str">
        <f t="shared" si="223"/>
        <v/>
      </c>
      <c r="M159" s="123" t="str">
        <f t="shared" si="224"/>
        <v/>
      </c>
      <c r="O159" s="123" t="str">
        <f t="shared" si="225"/>
        <v/>
      </c>
      <c r="P159" s="146"/>
      <c r="Q159" s="146" t="str">
        <f t="shared" ca="1" si="226"/>
        <v/>
      </c>
      <c r="R159" s="146" t="str">
        <f t="shared" si="227"/>
        <v/>
      </c>
      <c r="S159" s="146" t="str">
        <f t="shared" si="228"/>
        <v/>
      </c>
      <c r="T159" s="146" t="str">
        <f t="shared" ca="1" si="200"/>
        <v/>
      </c>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67"/>
      <c r="BO159" s="67"/>
      <c r="BP159" s="67"/>
      <c r="BQ159" s="67"/>
      <c r="BR159" s="67"/>
      <c r="BS159" s="67"/>
      <c r="BT159" s="67"/>
      <c r="BU159" s="67"/>
      <c r="BV159" s="67"/>
      <c r="BW159" s="67"/>
      <c r="BX159" s="67"/>
      <c r="BY159" s="67"/>
      <c r="BZ159" s="67"/>
      <c r="CA159" s="67"/>
      <c r="CB159" s="67"/>
      <c r="CC159" s="67"/>
      <c r="CD159" s="67"/>
      <c r="CE159" s="67"/>
      <c r="CF159" s="67"/>
      <c r="CG159" s="67"/>
      <c r="CH159" s="67"/>
      <c r="CI159" s="67"/>
      <c r="CJ159" s="67"/>
      <c r="CK159" s="67"/>
      <c r="CL159" s="67"/>
      <c r="CM159" s="67"/>
      <c r="CN159" s="67"/>
      <c r="CO159" s="67"/>
      <c r="CP159" s="67"/>
      <c r="CQ159" s="67"/>
      <c r="CR159" s="67"/>
      <c r="CS159" s="67"/>
      <c r="CT159" s="67"/>
      <c r="CU159" s="67"/>
      <c r="CV159" s="67"/>
      <c r="CW159" s="67"/>
      <c r="CX159" s="67"/>
    </row>
    <row r="160" spans="3:102" s="123" customFormat="1" ht="14.5" x14ac:dyDescent="0.35">
      <c r="G160" s="123" t="str">
        <f t="shared" ca="1" si="222"/>
        <v/>
      </c>
      <c r="K160" s="123" t="str">
        <f t="shared" si="223"/>
        <v/>
      </c>
      <c r="M160" s="123" t="str">
        <f t="shared" si="224"/>
        <v/>
      </c>
      <c r="O160" s="123" t="str">
        <f t="shared" si="225"/>
        <v/>
      </c>
      <c r="P160" s="146"/>
      <c r="Q160" s="146" t="str">
        <f t="shared" ca="1" si="226"/>
        <v/>
      </c>
      <c r="R160" s="146" t="str">
        <f t="shared" si="227"/>
        <v/>
      </c>
      <c r="S160" s="146" t="str">
        <f t="shared" si="228"/>
        <v/>
      </c>
      <c r="T160" s="146" t="str">
        <f t="shared" ca="1" si="200"/>
        <v/>
      </c>
      <c r="U160" s="146"/>
      <c r="V160" s="146"/>
      <c r="W160" s="146"/>
      <c r="X160" s="146"/>
      <c r="Y160" s="146"/>
      <c r="Z160" s="146"/>
      <c r="AA160" s="146"/>
      <c r="AB160" s="146" t="s">
        <v>135</v>
      </c>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67"/>
      <c r="BO160" s="67"/>
      <c r="BP160" s="67"/>
      <c r="BQ160" s="67"/>
      <c r="BR160" s="67"/>
      <c r="BS160" s="67"/>
      <c r="BT160" s="67"/>
      <c r="BU160" s="67"/>
      <c r="BV160" s="67"/>
      <c r="BW160" s="67"/>
      <c r="BX160" s="67"/>
      <c r="BY160" s="67"/>
      <c r="BZ160" s="67"/>
      <c r="CA160" s="67"/>
      <c r="CB160" s="67"/>
      <c r="CC160" s="67"/>
      <c r="CD160" s="67"/>
      <c r="CE160" s="67"/>
      <c r="CF160" s="67"/>
      <c r="CG160" s="67"/>
      <c r="CH160" s="67"/>
      <c r="CI160" s="67"/>
      <c r="CJ160" s="67"/>
      <c r="CK160" s="67"/>
      <c r="CL160" s="67"/>
      <c r="CM160" s="67"/>
      <c r="CN160" s="67"/>
      <c r="CO160" s="67"/>
      <c r="CP160" s="67"/>
      <c r="CQ160" s="67"/>
      <c r="CR160" s="67"/>
      <c r="CS160" s="67"/>
      <c r="CT160" s="67"/>
      <c r="CU160" s="67"/>
      <c r="CV160" s="67"/>
      <c r="CW160" s="67"/>
      <c r="CX160" s="67"/>
    </row>
    <row r="161" spans="7:102" s="123" customFormat="1" ht="14.5" x14ac:dyDescent="0.35">
      <c r="G161" s="123" t="str">
        <f t="shared" ref="G161" si="229">AD118</f>
        <v/>
      </c>
      <c r="P161" s="146"/>
      <c r="Q161" s="146"/>
      <c r="R161" s="146"/>
      <c r="S161" s="146"/>
      <c r="T161" s="146"/>
      <c r="U161" s="146"/>
      <c r="V161" s="146"/>
      <c r="W161" s="146"/>
      <c r="X161" s="146"/>
      <c r="Y161" s="146"/>
      <c r="Z161" s="146"/>
      <c r="AA161" s="146"/>
      <c r="AB161" s="146" t="s">
        <v>136</v>
      </c>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67"/>
      <c r="BO161" s="67"/>
      <c r="BP161" s="67"/>
      <c r="BQ161" s="67"/>
      <c r="BR161" s="67"/>
      <c r="BS161" s="67"/>
      <c r="BT161" s="67"/>
      <c r="BU161" s="67"/>
      <c r="BV161" s="67"/>
      <c r="BW161" s="67"/>
      <c r="BX161" s="67"/>
      <c r="BY161" s="67"/>
      <c r="BZ161" s="67"/>
      <c r="CA161" s="67"/>
      <c r="CB161" s="67"/>
      <c r="CC161" s="67"/>
      <c r="CD161" s="67"/>
      <c r="CE161" s="67"/>
      <c r="CF161" s="67"/>
      <c r="CG161" s="67"/>
      <c r="CH161" s="67"/>
      <c r="CI161" s="67"/>
      <c r="CJ161" s="67"/>
      <c r="CK161" s="67"/>
      <c r="CL161" s="67"/>
      <c r="CM161" s="67"/>
      <c r="CN161" s="67"/>
      <c r="CO161" s="67"/>
      <c r="CP161" s="67"/>
      <c r="CQ161" s="67"/>
      <c r="CR161" s="67"/>
      <c r="CS161" s="67"/>
      <c r="CT161" s="67"/>
      <c r="CU161" s="67"/>
      <c r="CV161" s="67"/>
      <c r="CW161" s="67"/>
      <c r="CX161" s="67"/>
    </row>
    <row r="162" spans="7:102" s="123" customFormat="1" ht="14.5" x14ac:dyDescent="0.35">
      <c r="G162" s="123" t="str">
        <f ca="1">AD119</f>
        <v/>
      </c>
      <c r="K162" s="123" t="str">
        <f ca="1">AF119</f>
        <v/>
      </c>
      <c r="M162" s="123" t="str">
        <f ca="1">AG119</f>
        <v/>
      </c>
      <c r="O162" s="123" t="str">
        <f ca="1">AH123</f>
        <v/>
      </c>
      <c r="P162" s="146"/>
      <c r="Q162" s="146" t="str">
        <f ca="1">IF(G162="","",IF(ISERR(G162)=TRUE,"",IF(G162&lt;=0,"",IF(AI102&lt;AA115,AI102,AA115))))</f>
        <v/>
      </c>
      <c r="R162" s="146" t="str">
        <f ca="1">IF(K162="","",IF(ISERR(K162)=TRUE,"",IF(K162&lt;=0,"",IF(T103&lt;($AF$80*AB119*$E$12/100),T103,(AB119*$AF$80*$E$12/100)))))</f>
        <v/>
      </c>
      <c r="S162" s="146" t="str">
        <f ca="1">IF(ISERR(R162)=TRUE,"",IF(ISERR(R162/$M$67)=TRUE,"",R162*100/$M$67))</f>
        <v/>
      </c>
      <c r="T162" s="146" t="str">
        <f ca="1">IF(ISERR(Q162+R162)=TRUE,"",Q162+R162)</f>
        <v/>
      </c>
      <c r="U162" s="146"/>
      <c r="V162" s="146"/>
      <c r="W162" s="146"/>
      <c r="X162" s="146"/>
      <c r="Y162" s="146"/>
      <c r="Z162" s="146"/>
      <c r="AA162" s="146"/>
      <c r="AB162" s="146" t="s">
        <v>137</v>
      </c>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67"/>
      <c r="BO162" s="67"/>
      <c r="BP162" s="67"/>
      <c r="BQ162" s="67"/>
      <c r="BR162" s="67"/>
      <c r="BS162" s="67"/>
      <c r="BT162" s="67"/>
      <c r="BU162" s="67"/>
      <c r="BV162" s="67"/>
      <c r="BW162" s="67"/>
      <c r="BX162" s="67"/>
      <c r="BY162" s="67"/>
      <c r="BZ162" s="67"/>
      <c r="CA162" s="67"/>
      <c r="CB162" s="67"/>
      <c r="CC162" s="67"/>
      <c r="CD162" s="67"/>
      <c r="CE162" s="67"/>
      <c r="CF162" s="67"/>
      <c r="CG162" s="67"/>
      <c r="CH162" s="67"/>
      <c r="CI162" s="67"/>
      <c r="CJ162" s="67"/>
      <c r="CK162" s="67"/>
      <c r="CL162" s="67"/>
      <c r="CM162" s="67"/>
      <c r="CN162" s="67"/>
      <c r="CO162" s="67"/>
      <c r="CP162" s="67"/>
      <c r="CQ162" s="67"/>
      <c r="CR162" s="67"/>
      <c r="CS162" s="67"/>
      <c r="CT162" s="67"/>
      <c r="CU162" s="67"/>
      <c r="CV162" s="67"/>
      <c r="CW162" s="67"/>
      <c r="CX162" s="67"/>
    </row>
    <row r="163" spans="7:102" s="123" customFormat="1" ht="14.5" x14ac:dyDescent="0.35">
      <c r="P163" s="146"/>
      <c r="Q163" s="146"/>
      <c r="R163" s="146"/>
      <c r="S163" s="146"/>
      <c r="T163" s="146"/>
      <c r="U163" s="146"/>
      <c r="V163" s="146"/>
      <c r="W163" s="146"/>
      <c r="X163" s="146"/>
      <c r="Y163" s="146"/>
      <c r="Z163" s="146"/>
      <c r="AA163" s="146"/>
      <c r="AB163" s="146" t="s">
        <v>138</v>
      </c>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67"/>
      <c r="BO163" s="67"/>
      <c r="BP163" s="67"/>
      <c r="BQ163" s="67"/>
      <c r="BR163" s="67"/>
      <c r="BS163" s="67"/>
      <c r="BT163" s="67"/>
      <c r="BU163" s="67"/>
      <c r="BV163" s="67"/>
      <c r="BW163" s="67"/>
      <c r="BX163" s="67"/>
      <c r="BY163" s="67"/>
      <c r="BZ163" s="67"/>
      <c r="CA163" s="67"/>
      <c r="CB163" s="67"/>
      <c r="CC163" s="67"/>
      <c r="CD163" s="67"/>
      <c r="CE163" s="67"/>
      <c r="CF163" s="67"/>
      <c r="CG163" s="67"/>
      <c r="CH163" s="67"/>
      <c r="CI163" s="67"/>
      <c r="CJ163" s="67"/>
      <c r="CK163" s="67"/>
      <c r="CL163" s="67"/>
      <c r="CM163" s="67"/>
      <c r="CN163" s="67"/>
      <c r="CO163" s="67"/>
      <c r="CP163" s="67"/>
      <c r="CQ163" s="67"/>
      <c r="CR163" s="67"/>
      <c r="CS163" s="67"/>
      <c r="CT163" s="67"/>
      <c r="CU163" s="67"/>
      <c r="CV163" s="67"/>
      <c r="CW163" s="67"/>
      <c r="CX163" s="67"/>
    </row>
    <row r="164" spans="7:102" s="123" customFormat="1" ht="14.5" x14ac:dyDescent="0.35">
      <c r="P164" s="146"/>
      <c r="Q164" s="146"/>
      <c r="R164" s="146"/>
      <c r="S164" s="146"/>
      <c r="T164" s="146"/>
      <c r="U164" s="146"/>
      <c r="V164" s="146"/>
      <c r="W164" s="146"/>
      <c r="X164" s="146"/>
      <c r="Y164" s="146"/>
      <c r="Z164" s="146"/>
      <c r="AA164" s="146"/>
      <c r="AB164" s="146" t="s">
        <v>139</v>
      </c>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67"/>
      <c r="BO164" s="67"/>
      <c r="BP164" s="67"/>
      <c r="BQ164" s="67"/>
      <c r="BR164" s="67"/>
      <c r="BS164" s="67"/>
      <c r="BT164" s="67"/>
      <c r="BU164" s="67"/>
      <c r="BV164" s="67"/>
      <c r="BW164" s="67"/>
      <c r="BX164" s="67"/>
      <c r="BY164" s="67"/>
      <c r="BZ164" s="67"/>
      <c r="CA164" s="67"/>
      <c r="CB164" s="67"/>
      <c r="CC164" s="67"/>
      <c r="CD164" s="67"/>
      <c r="CE164" s="67"/>
      <c r="CF164" s="67"/>
      <c r="CG164" s="67"/>
      <c r="CH164" s="67"/>
      <c r="CI164" s="67"/>
      <c r="CJ164" s="67"/>
      <c r="CK164" s="67"/>
      <c r="CL164" s="67"/>
      <c r="CM164" s="67"/>
      <c r="CN164" s="67"/>
      <c r="CO164" s="67"/>
      <c r="CP164" s="67"/>
      <c r="CQ164" s="67"/>
      <c r="CR164" s="67"/>
      <c r="CS164" s="67"/>
      <c r="CT164" s="67"/>
      <c r="CU164" s="67"/>
      <c r="CV164" s="67"/>
      <c r="CW164" s="67"/>
      <c r="CX164" s="67"/>
    </row>
    <row r="165" spans="7:102" s="123" customFormat="1" ht="14.5" x14ac:dyDescent="0.35">
      <c r="P165" s="146"/>
      <c r="Q165" s="146"/>
      <c r="R165" s="146"/>
      <c r="S165" s="146"/>
      <c r="T165" s="146"/>
      <c r="U165" s="146"/>
      <c r="V165" s="146"/>
      <c r="W165" s="146"/>
      <c r="X165" s="146"/>
      <c r="Y165" s="146"/>
      <c r="Z165" s="146"/>
      <c r="AA165" s="146"/>
      <c r="AB165" s="146" t="s">
        <v>140</v>
      </c>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67"/>
      <c r="BO165" s="67"/>
      <c r="BP165" s="67"/>
      <c r="BQ165" s="67"/>
      <c r="BR165" s="67"/>
      <c r="BS165" s="67"/>
      <c r="BT165" s="67"/>
      <c r="BU165" s="67"/>
      <c r="BV165" s="67"/>
      <c r="BW165" s="67"/>
      <c r="BX165" s="67"/>
      <c r="BY165" s="67"/>
      <c r="BZ165" s="67"/>
      <c r="CA165" s="67"/>
      <c r="CB165" s="67"/>
      <c r="CC165" s="67"/>
      <c r="CD165" s="67"/>
      <c r="CE165" s="67"/>
      <c r="CF165" s="67"/>
      <c r="CG165" s="67"/>
      <c r="CH165" s="67"/>
      <c r="CI165" s="67"/>
      <c r="CJ165" s="67"/>
      <c r="CK165" s="67"/>
      <c r="CL165" s="67"/>
      <c r="CM165" s="67"/>
      <c r="CN165" s="67"/>
      <c r="CO165" s="67"/>
      <c r="CP165" s="67"/>
      <c r="CQ165" s="67"/>
      <c r="CR165" s="67"/>
      <c r="CS165" s="67"/>
      <c r="CT165" s="67"/>
      <c r="CU165" s="67"/>
      <c r="CV165" s="67"/>
      <c r="CW165" s="67"/>
      <c r="CX165" s="67"/>
    </row>
    <row r="166" spans="7:102" s="123" customFormat="1" ht="14.5" x14ac:dyDescent="0.35">
      <c r="P166" s="146"/>
      <c r="Q166" s="146"/>
      <c r="R166" s="146"/>
      <c r="S166" s="146"/>
      <c r="T166" s="146"/>
      <c r="U166" s="146"/>
      <c r="V166" s="146"/>
      <c r="W166" s="146"/>
      <c r="X166" s="146"/>
      <c r="Y166" s="146"/>
      <c r="Z166" s="146"/>
      <c r="AA166" s="146"/>
      <c r="AB166" s="146" t="s">
        <v>141</v>
      </c>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67"/>
      <c r="BO166" s="67"/>
      <c r="BP166" s="67"/>
      <c r="BQ166" s="67"/>
      <c r="BR166" s="67"/>
      <c r="BS166" s="67"/>
      <c r="BT166" s="67"/>
      <c r="BU166" s="67"/>
      <c r="BV166" s="67"/>
      <c r="BW166" s="67"/>
      <c r="BX166" s="67"/>
      <c r="BY166" s="67"/>
      <c r="BZ166" s="67"/>
      <c r="CA166" s="67"/>
      <c r="CB166" s="67"/>
      <c r="CC166" s="67"/>
      <c r="CD166" s="67"/>
      <c r="CE166" s="67"/>
      <c r="CF166" s="67"/>
      <c r="CG166" s="67"/>
      <c r="CH166" s="67"/>
      <c r="CI166" s="67"/>
      <c r="CJ166" s="67"/>
      <c r="CK166" s="67"/>
      <c r="CL166" s="67"/>
      <c r="CM166" s="67"/>
      <c r="CN166" s="67"/>
      <c r="CO166" s="67"/>
      <c r="CP166" s="67"/>
      <c r="CQ166" s="67"/>
      <c r="CR166" s="67"/>
      <c r="CS166" s="67"/>
      <c r="CT166" s="67"/>
      <c r="CU166" s="67"/>
      <c r="CV166" s="67"/>
      <c r="CW166" s="67"/>
      <c r="CX166" s="67"/>
    </row>
    <row r="167" spans="7:102" s="123" customFormat="1" ht="14.5" x14ac:dyDescent="0.35">
      <c r="P167" s="146"/>
      <c r="Q167" s="146"/>
      <c r="R167" s="146"/>
      <c r="S167" s="146"/>
      <c r="T167" s="146"/>
      <c r="U167" s="146"/>
      <c r="V167" s="146"/>
      <c r="W167" s="146"/>
      <c r="X167" s="146"/>
      <c r="Y167" s="146"/>
      <c r="Z167" s="146"/>
      <c r="AA167" s="146"/>
      <c r="AB167" s="146" t="s">
        <v>142</v>
      </c>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67"/>
      <c r="BO167" s="67"/>
      <c r="BP167" s="67"/>
      <c r="BQ167" s="67"/>
      <c r="BR167" s="67"/>
      <c r="BS167" s="67"/>
      <c r="BT167" s="67"/>
      <c r="BU167" s="67"/>
      <c r="BV167" s="67"/>
      <c r="BW167" s="67"/>
      <c r="BX167" s="67"/>
      <c r="BY167" s="67"/>
      <c r="BZ167" s="67"/>
      <c r="CA167" s="67"/>
      <c r="CB167" s="67"/>
      <c r="CC167" s="67"/>
      <c r="CD167" s="67"/>
      <c r="CE167" s="67"/>
      <c r="CF167" s="67"/>
      <c r="CG167" s="67"/>
      <c r="CH167" s="67"/>
      <c r="CI167" s="67"/>
      <c r="CJ167" s="67"/>
      <c r="CK167" s="67"/>
      <c r="CL167" s="67"/>
      <c r="CM167" s="67"/>
      <c r="CN167" s="67"/>
      <c r="CO167" s="67"/>
      <c r="CP167" s="67"/>
      <c r="CQ167" s="67"/>
      <c r="CR167" s="67"/>
      <c r="CS167" s="67"/>
      <c r="CT167" s="67"/>
      <c r="CU167" s="67"/>
      <c r="CV167" s="67"/>
      <c r="CW167" s="67"/>
      <c r="CX167" s="67"/>
    </row>
    <row r="168" spans="7:102" s="123" customFormat="1" ht="14.5" x14ac:dyDescent="0.35">
      <c r="P168" s="146"/>
      <c r="Q168" s="146"/>
      <c r="R168" s="146"/>
      <c r="S168" s="146"/>
      <c r="T168" s="146"/>
      <c r="U168" s="146"/>
      <c r="V168" s="146"/>
      <c r="W168" s="146"/>
      <c r="X168" s="146"/>
      <c r="Y168" s="146"/>
      <c r="Z168" s="146"/>
      <c r="AA168" s="146"/>
      <c r="AB168" s="146" t="s">
        <v>143</v>
      </c>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67"/>
      <c r="BO168" s="67"/>
      <c r="BP168" s="67"/>
      <c r="BQ168" s="67"/>
      <c r="BR168" s="67"/>
      <c r="BS168" s="67"/>
      <c r="BT168" s="67"/>
      <c r="BU168" s="67"/>
      <c r="BV168" s="67"/>
      <c r="BW168" s="67"/>
      <c r="BX168" s="67"/>
      <c r="BY168" s="67"/>
      <c r="BZ168" s="67"/>
      <c r="CA168" s="67"/>
      <c r="CB168" s="67"/>
      <c r="CC168" s="67"/>
      <c r="CD168" s="67"/>
      <c r="CE168" s="67"/>
      <c r="CF168" s="67"/>
      <c r="CG168" s="67"/>
      <c r="CH168" s="67"/>
      <c r="CI168" s="67"/>
      <c r="CJ168" s="67"/>
      <c r="CK168" s="67"/>
      <c r="CL168" s="67"/>
      <c r="CM168" s="67"/>
      <c r="CN168" s="67"/>
      <c r="CO168" s="67"/>
      <c r="CP168" s="67"/>
      <c r="CQ168" s="67"/>
      <c r="CR168" s="67"/>
      <c r="CS168" s="67"/>
      <c r="CT168" s="67"/>
      <c r="CU168" s="67"/>
      <c r="CV168" s="67"/>
      <c r="CW168" s="67"/>
      <c r="CX168" s="67"/>
    </row>
    <row r="169" spans="7:102" s="123" customFormat="1" ht="14.5" x14ac:dyDescent="0.35">
      <c r="P169" s="146"/>
      <c r="Q169" s="146"/>
      <c r="R169" s="146"/>
      <c r="S169" s="146"/>
      <c r="T169" s="146"/>
      <c r="U169" s="146"/>
      <c r="V169" s="146"/>
      <c r="W169" s="146"/>
      <c r="X169" s="146"/>
      <c r="Y169" s="146"/>
      <c r="Z169" s="146"/>
      <c r="AA169" s="146"/>
      <c r="AB169" s="146" t="s">
        <v>144</v>
      </c>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67"/>
      <c r="BO169" s="67"/>
      <c r="BP169" s="67"/>
      <c r="BQ169" s="67"/>
      <c r="BR169" s="67"/>
      <c r="BS169" s="67"/>
      <c r="BT169" s="67"/>
      <c r="BU169" s="67"/>
      <c r="BV169" s="67"/>
      <c r="BW169" s="67"/>
      <c r="BX169" s="67"/>
      <c r="BY169" s="67"/>
      <c r="BZ169" s="67"/>
      <c r="CA169" s="67"/>
      <c r="CB169" s="67"/>
      <c r="CC169" s="67"/>
      <c r="CD169" s="67"/>
      <c r="CE169" s="67"/>
      <c r="CF169" s="67"/>
      <c r="CG169" s="67"/>
      <c r="CH169" s="67"/>
      <c r="CI169" s="67"/>
      <c r="CJ169" s="67"/>
      <c r="CK169" s="67"/>
      <c r="CL169" s="67"/>
      <c r="CM169" s="67"/>
      <c r="CN169" s="67"/>
      <c r="CO169" s="67"/>
      <c r="CP169" s="67"/>
      <c r="CQ169" s="67"/>
      <c r="CR169" s="67"/>
      <c r="CS169" s="67"/>
      <c r="CT169" s="67"/>
      <c r="CU169" s="67"/>
      <c r="CV169" s="67"/>
      <c r="CW169" s="67"/>
      <c r="CX169" s="67"/>
    </row>
    <row r="170" spans="7:102" s="123" customFormat="1" ht="14.5" x14ac:dyDescent="0.35">
      <c r="P170" s="146"/>
      <c r="Q170" s="146"/>
      <c r="R170" s="146"/>
      <c r="S170" s="146"/>
      <c r="T170" s="146"/>
      <c r="U170" s="146"/>
      <c r="V170" s="146"/>
      <c r="W170" s="146"/>
      <c r="X170" s="146"/>
      <c r="Y170" s="146"/>
      <c r="Z170" s="146"/>
      <c r="AA170" s="146"/>
      <c r="AB170" s="146" t="s">
        <v>145</v>
      </c>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67"/>
      <c r="BO170" s="67"/>
      <c r="BP170" s="67"/>
      <c r="BQ170" s="67"/>
      <c r="BR170" s="67"/>
      <c r="BS170" s="67"/>
      <c r="BT170" s="67"/>
      <c r="BU170" s="67"/>
      <c r="BV170" s="67"/>
      <c r="BW170" s="67"/>
      <c r="BX170" s="67"/>
      <c r="BY170" s="67"/>
      <c r="BZ170" s="67"/>
      <c r="CA170" s="67"/>
      <c r="CB170" s="67"/>
      <c r="CC170" s="67"/>
      <c r="CD170" s="67"/>
      <c r="CE170" s="67"/>
      <c r="CF170" s="67"/>
      <c r="CG170" s="67"/>
      <c r="CH170" s="67"/>
      <c r="CI170" s="67"/>
      <c r="CJ170" s="67"/>
      <c r="CK170" s="67"/>
      <c r="CL170" s="67"/>
      <c r="CM170" s="67"/>
      <c r="CN170" s="67"/>
      <c r="CO170" s="67"/>
      <c r="CP170" s="67"/>
      <c r="CQ170" s="67"/>
      <c r="CR170" s="67"/>
      <c r="CS170" s="67"/>
      <c r="CT170" s="67"/>
      <c r="CU170" s="67"/>
      <c r="CV170" s="67"/>
      <c r="CW170" s="67"/>
      <c r="CX170" s="67"/>
    </row>
    <row r="171" spans="7:102" s="123" customFormat="1" ht="14.5" x14ac:dyDescent="0.35">
      <c r="P171" s="146"/>
      <c r="Q171" s="146"/>
      <c r="R171" s="146"/>
      <c r="S171" s="146"/>
      <c r="T171" s="146"/>
      <c r="U171" s="146"/>
      <c r="V171" s="146"/>
      <c r="W171" s="146"/>
      <c r="X171" s="146"/>
      <c r="Y171" s="146"/>
      <c r="Z171" s="146"/>
      <c r="AA171" s="146"/>
      <c r="AB171" s="146" t="s">
        <v>146</v>
      </c>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67"/>
      <c r="BO171" s="67"/>
      <c r="BP171" s="67"/>
      <c r="BQ171" s="67"/>
      <c r="BR171" s="67"/>
      <c r="BS171" s="67"/>
      <c r="BT171" s="67"/>
      <c r="BU171" s="67"/>
      <c r="BV171" s="67"/>
      <c r="BW171" s="67"/>
      <c r="BX171" s="67"/>
      <c r="BY171" s="67"/>
      <c r="BZ171" s="67"/>
      <c r="CA171" s="67"/>
      <c r="CB171" s="67"/>
      <c r="CC171" s="67"/>
      <c r="CD171" s="67"/>
      <c r="CE171" s="67"/>
      <c r="CF171" s="67"/>
      <c r="CG171" s="67"/>
      <c r="CH171" s="67"/>
      <c r="CI171" s="67"/>
      <c r="CJ171" s="67"/>
      <c r="CK171" s="67"/>
      <c r="CL171" s="67"/>
      <c r="CM171" s="67"/>
      <c r="CN171" s="67"/>
      <c r="CO171" s="67"/>
      <c r="CP171" s="67"/>
      <c r="CQ171" s="67"/>
      <c r="CR171" s="67"/>
      <c r="CS171" s="67"/>
      <c r="CT171" s="67"/>
      <c r="CU171" s="67"/>
      <c r="CV171" s="67"/>
      <c r="CW171" s="67"/>
      <c r="CX171" s="67"/>
    </row>
    <row r="172" spans="7:102" s="123" customFormat="1" ht="14.5" x14ac:dyDescent="0.35">
      <c r="P172" s="146"/>
      <c r="Q172" s="146"/>
      <c r="R172" s="146"/>
      <c r="S172" s="146"/>
      <c r="T172" s="146"/>
      <c r="U172" s="146"/>
      <c r="V172" s="146"/>
      <c r="W172" s="146"/>
      <c r="X172" s="146"/>
      <c r="Y172" s="146"/>
      <c r="Z172" s="146"/>
      <c r="AA172" s="146"/>
      <c r="AB172" s="146" t="s">
        <v>147</v>
      </c>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67"/>
      <c r="BO172" s="67"/>
      <c r="BP172" s="67"/>
      <c r="BQ172" s="67"/>
      <c r="BR172" s="67"/>
      <c r="BS172" s="67"/>
      <c r="BT172" s="67"/>
      <c r="BU172" s="67"/>
      <c r="BV172" s="67"/>
      <c r="BW172" s="67"/>
      <c r="BX172" s="67"/>
      <c r="BY172" s="67"/>
      <c r="BZ172" s="67"/>
      <c r="CA172" s="67"/>
      <c r="CB172" s="67"/>
      <c r="CC172" s="67"/>
      <c r="CD172" s="67"/>
      <c r="CE172" s="67"/>
      <c r="CF172" s="67"/>
      <c r="CG172" s="67"/>
      <c r="CH172" s="67"/>
      <c r="CI172" s="67"/>
      <c r="CJ172" s="67"/>
      <c r="CK172" s="67"/>
      <c r="CL172" s="67"/>
      <c r="CM172" s="67"/>
      <c r="CN172" s="67"/>
      <c r="CO172" s="67"/>
      <c r="CP172" s="67"/>
      <c r="CQ172" s="67"/>
      <c r="CR172" s="67"/>
      <c r="CS172" s="67"/>
      <c r="CT172" s="67"/>
      <c r="CU172" s="67"/>
      <c r="CV172" s="67"/>
      <c r="CW172" s="67"/>
      <c r="CX172" s="67"/>
    </row>
    <row r="173" spans="7:102" s="123" customFormat="1" ht="14.5" x14ac:dyDescent="0.35">
      <c r="P173" s="146"/>
      <c r="Q173" s="146"/>
      <c r="R173" s="146"/>
      <c r="S173" s="146"/>
      <c r="T173" s="146"/>
      <c r="U173" s="146"/>
      <c r="V173" s="146"/>
      <c r="W173" s="146"/>
      <c r="X173" s="146"/>
      <c r="Y173" s="146"/>
      <c r="Z173" s="146"/>
      <c r="AA173" s="146"/>
      <c r="AB173" s="146" t="s">
        <v>148</v>
      </c>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67"/>
      <c r="BO173" s="67"/>
      <c r="BP173" s="67"/>
      <c r="BQ173" s="67"/>
      <c r="BR173" s="67"/>
      <c r="BS173" s="67"/>
      <c r="BT173" s="67"/>
      <c r="BU173" s="67"/>
      <c r="BV173" s="67"/>
      <c r="BW173" s="67"/>
      <c r="BX173" s="67"/>
      <c r="BY173" s="67"/>
      <c r="BZ173" s="67"/>
      <c r="CA173" s="67"/>
      <c r="CB173" s="67"/>
      <c r="CC173" s="67"/>
      <c r="CD173" s="67"/>
      <c r="CE173" s="67"/>
      <c r="CF173" s="67"/>
      <c r="CG173" s="67"/>
      <c r="CH173" s="67"/>
      <c r="CI173" s="67"/>
      <c r="CJ173" s="67"/>
      <c r="CK173" s="67"/>
      <c r="CL173" s="67"/>
      <c r="CM173" s="67"/>
      <c r="CN173" s="67"/>
      <c r="CO173" s="67"/>
      <c r="CP173" s="67"/>
      <c r="CQ173" s="67"/>
      <c r="CR173" s="67"/>
      <c r="CS173" s="67"/>
      <c r="CT173" s="67"/>
      <c r="CU173" s="67"/>
      <c r="CV173" s="67"/>
      <c r="CW173" s="67"/>
      <c r="CX173" s="67"/>
    </row>
    <row r="174" spans="7:102" s="123" customFormat="1" ht="14.5" x14ac:dyDescent="0.35">
      <c r="P174" s="146"/>
      <c r="Q174" s="146"/>
      <c r="R174" s="146"/>
      <c r="S174" s="146"/>
      <c r="T174" s="146"/>
      <c r="U174" s="146"/>
      <c r="V174" s="146"/>
      <c r="W174" s="146"/>
      <c r="X174" s="146"/>
      <c r="Y174" s="146"/>
      <c r="Z174" s="146"/>
      <c r="AA174" s="146"/>
      <c r="AB174" s="146" t="s">
        <v>149</v>
      </c>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67"/>
      <c r="BO174" s="67"/>
      <c r="BP174" s="67"/>
      <c r="BQ174" s="67"/>
      <c r="BR174" s="67"/>
      <c r="BS174" s="67"/>
      <c r="BT174" s="67"/>
      <c r="BU174" s="67"/>
      <c r="BV174" s="67"/>
      <c r="BW174" s="67"/>
      <c r="BX174" s="67"/>
      <c r="BY174" s="67"/>
      <c r="BZ174" s="67"/>
      <c r="CA174" s="67"/>
      <c r="CB174" s="67"/>
      <c r="CC174" s="67"/>
      <c r="CD174" s="67"/>
      <c r="CE174" s="67"/>
      <c r="CF174" s="67"/>
      <c r="CG174" s="67"/>
      <c r="CH174" s="67"/>
      <c r="CI174" s="67"/>
      <c r="CJ174" s="67"/>
      <c r="CK174" s="67"/>
      <c r="CL174" s="67"/>
      <c r="CM174" s="67"/>
      <c r="CN174" s="67"/>
      <c r="CO174" s="67"/>
      <c r="CP174" s="67"/>
      <c r="CQ174" s="67"/>
      <c r="CR174" s="67"/>
      <c r="CS174" s="67"/>
      <c r="CT174" s="67"/>
      <c r="CU174" s="67"/>
      <c r="CV174" s="67"/>
      <c r="CW174" s="67"/>
      <c r="CX174" s="67"/>
    </row>
    <row r="175" spans="7:102" s="123" customFormat="1" ht="14.5" x14ac:dyDescent="0.35">
      <c r="P175" s="146"/>
      <c r="Q175" s="146"/>
      <c r="R175" s="146"/>
      <c r="S175" s="146"/>
      <c r="T175" s="146"/>
      <c r="U175" s="146"/>
      <c r="V175" s="146"/>
      <c r="W175" s="146"/>
      <c r="X175" s="146"/>
      <c r="Y175" s="146"/>
      <c r="Z175" s="146"/>
      <c r="AA175" s="146"/>
      <c r="AB175" s="146" t="s">
        <v>150</v>
      </c>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c r="CM175" s="67"/>
      <c r="CN175" s="67"/>
      <c r="CO175" s="67"/>
      <c r="CP175" s="67"/>
      <c r="CQ175" s="67"/>
      <c r="CR175" s="67"/>
      <c r="CS175" s="67"/>
      <c r="CT175" s="67"/>
      <c r="CU175" s="67"/>
      <c r="CV175" s="67"/>
      <c r="CW175" s="67"/>
      <c r="CX175" s="67"/>
    </row>
    <row r="176" spans="7:102" s="123" customFormat="1" ht="14.5" x14ac:dyDescent="0.35">
      <c r="P176" s="146"/>
      <c r="Q176" s="146"/>
      <c r="R176" s="146"/>
      <c r="S176" s="146"/>
      <c r="T176" s="146"/>
      <c r="U176" s="146"/>
      <c r="V176" s="146"/>
      <c r="W176" s="146"/>
      <c r="X176" s="146"/>
      <c r="Y176" s="146"/>
      <c r="Z176" s="146"/>
      <c r="AA176" s="146"/>
      <c r="AB176" s="146" t="s">
        <v>151</v>
      </c>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c r="CV176" s="67"/>
      <c r="CW176" s="67"/>
      <c r="CX176" s="67"/>
    </row>
    <row r="177" spans="16:102" s="123" customFormat="1" ht="14.5" x14ac:dyDescent="0.35">
      <c r="P177" s="146"/>
      <c r="Q177" s="146"/>
      <c r="R177" s="146"/>
      <c r="S177" s="146"/>
      <c r="T177" s="146"/>
      <c r="U177" s="146"/>
      <c r="V177" s="146"/>
      <c r="W177" s="146"/>
      <c r="X177" s="146"/>
      <c r="Y177" s="146"/>
      <c r="Z177" s="146"/>
      <c r="AA177" s="146"/>
      <c r="AB177" s="146" t="s">
        <v>152</v>
      </c>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row>
    <row r="178" spans="16:102" s="123" customFormat="1" ht="14.5" x14ac:dyDescent="0.35">
      <c r="P178" s="146"/>
      <c r="Q178" s="146"/>
      <c r="R178" s="146"/>
      <c r="S178" s="146"/>
      <c r="T178" s="146"/>
      <c r="U178" s="146"/>
      <c r="V178" s="146"/>
      <c r="W178" s="146"/>
      <c r="X178" s="146"/>
      <c r="Y178" s="146"/>
      <c r="Z178" s="146"/>
      <c r="AA178" s="146"/>
      <c r="AB178" s="146" t="s">
        <v>153</v>
      </c>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row>
    <row r="179" spans="16:102" s="123" customFormat="1" ht="14.5" x14ac:dyDescent="0.35">
      <c r="P179" s="146"/>
      <c r="Q179" s="146"/>
      <c r="R179" s="146"/>
      <c r="S179" s="146"/>
      <c r="T179" s="146"/>
      <c r="U179" s="146"/>
      <c r="V179" s="146"/>
      <c r="W179" s="146"/>
      <c r="X179" s="146"/>
      <c r="Y179" s="146"/>
      <c r="Z179" s="146"/>
      <c r="AA179" s="146"/>
      <c r="AB179" s="146" t="s">
        <v>154</v>
      </c>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row>
    <row r="180" spans="16:102" s="123" customFormat="1" ht="14.5" x14ac:dyDescent="0.35">
      <c r="P180" s="146"/>
      <c r="Q180" s="146"/>
      <c r="R180" s="146"/>
      <c r="S180" s="146"/>
      <c r="T180" s="146"/>
      <c r="U180" s="146"/>
      <c r="V180" s="146"/>
      <c r="W180" s="146"/>
      <c r="X180" s="146"/>
      <c r="Y180" s="146"/>
      <c r="Z180" s="146"/>
      <c r="AA180" s="146"/>
      <c r="AB180" s="146" t="s">
        <v>155</v>
      </c>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row>
    <row r="181" spans="16:102" s="123" customFormat="1" ht="14.5" x14ac:dyDescent="0.35">
      <c r="P181" s="146"/>
      <c r="Q181" s="146"/>
      <c r="R181" s="146"/>
      <c r="S181" s="146"/>
      <c r="T181" s="146"/>
      <c r="U181" s="146"/>
      <c r="V181" s="146"/>
      <c r="W181" s="146"/>
      <c r="X181" s="146"/>
      <c r="Y181" s="146"/>
      <c r="Z181" s="146"/>
      <c r="AA181" s="146"/>
      <c r="AB181" s="146" t="s">
        <v>156</v>
      </c>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row>
    <row r="182" spans="16:102" s="123" customFormat="1" ht="14.5" x14ac:dyDescent="0.35">
      <c r="P182" s="146"/>
      <c r="Q182" s="146"/>
      <c r="R182" s="146"/>
      <c r="S182" s="146"/>
      <c r="T182" s="146"/>
      <c r="U182" s="146"/>
      <c r="V182" s="146"/>
      <c r="W182" s="146"/>
      <c r="X182" s="146"/>
      <c r="Y182" s="146"/>
      <c r="Z182" s="146"/>
      <c r="AA182" s="146"/>
      <c r="AB182" s="146" t="s">
        <v>157</v>
      </c>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row>
    <row r="183" spans="16:102" s="123" customFormat="1" ht="14.5" x14ac:dyDescent="0.35">
      <c r="P183" s="146"/>
      <c r="Q183" s="146"/>
      <c r="R183" s="146"/>
      <c r="S183" s="146"/>
      <c r="T183" s="146"/>
      <c r="U183" s="146"/>
      <c r="V183" s="146"/>
      <c r="W183" s="146"/>
      <c r="X183" s="146"/>
      <c r="Y183" s="146"/>
      <c r="Z183" s="146"/>
      <c r="AA183" s="146"/>
      <c r="AB183" s="146" t="s">
        <v>158</v>
      </c>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c r="CV183" s="67"/>
      <c r="CW183" s="67"/>
      <c r="CX183" s="67"/>
    </row>
    <row r="184" spans="16:102" s="123" customFormat="1" ht="14.5" x14ac:dyDescent="0.35">
      <c r="P184" s="146"/>
      <c r="Q184" s="146"/>
      <c r="R184" s="146"/>
      <c r="S184" s="146"/>
      <c r="T184" s="146"/>
      <c r="U184" s="146"/>
      <c r="V184" s="146"/>
      <c r="W184" s="146"/>
      <c r="X184" s="146"/>
      <c r="Y184" s="146"/>
      <c r="Z184" s="146"/>
      <c r="AA184" s="146"/>
      <c r="AB184" s="146" t="s">
        <v>159</v>
      </c>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row>
    <row r="185" spans="16:102" s="123" customFormat="1" ht="14.5" x14ac:dyDescent="0.35">
      <c r="P185" s="146"/>
      <c r="Q185" s="146"/>
      <c r="R185" s="146"/>
      <c r="S185" s="146"/>
      <c r="T185" s="146"/>
      <c r="U185" s="146"/>
      <c r="V185" s="146"/>
      <c r="W185" s="146"/>
      <c r="X185" s="146"/>
      <c r="Y185" s="146"/>
      <c r="Z185" s="146"/>
      <c r="AA185" s="146"/>
      <c r="AB185" s="146" t="s">
        <v>160</v>
      </c>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c r="BJ185" s="146"/>
      <c r="BK185" s="146"/>
      <c r="BL185" s="146"/>
      <c r="BM185" s="146"/>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row>
    <row r="186" spans="16:102" s="123" customFormat="1" ht="14.5" x14ac:dyDescent="0.35">
      <c r="P186" s="146"/>
      <c r="Q186" s="146"/>
      <c r="R186" s="146"/>
      <c r="S186" s="146"/>
      <c r="T186" s="146"/>
      <c r="U186" s="146"/>
      <c r="V186" s="146"/>
      <c r="W186" s="146"/>
      <c r="X186" s="146"/>
      <c r="Y186" s="146"/>
      <c r="Z186" s="146"/>
      <c r="AA186" s="146"/>
      <c r="AB186" s="146" t="s">
        <v>161</v>
      </c>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c r="BJ186" s="146"/>
      <c r="BK186" s="146"/>
      <c r="BL186" s="146"/>
      <c r="BM186" s="146"/>
      <c r="BN186" s="67"/>
      <c r="BO186" s="67"/>
      <c r="BP186" s="67"/>
      <c r="BQ186" s="67"/>
      <c r="BR186" s="67"/>
      <c r="BS186" s="67"/>
      <c r="BT186" s="67"/>
      <c r="BU186" s="67"/>
      <c r="BV186" s="67"/>
      <c r="BW186" s="67"/>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row>
    <row r="187" spans="16:102" s="123" customFormat="1" ht="14.5" x14ac:dyDescent="0.35">
      <c r="P187" s="146"/>
      <c r="Q187" s="146"/>
      <c r="R187" s="146"/>
      <c r="S187" s="146"/>
      <c r="T187" s="146"/>
      <c r="U187" s="146"/>
      <c r="V187" s="146"/>
      <c r="W187" s="146"/>
      <c r="X187" s="146"/>
      <c r="Y187" s="146"/>
      <c r="Z187" s="146"/>
      <c r="AA187" s="146"/>
      <c r="AB187" s="146" t="s">
        <v>162</v>
      </c>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67"/>
      <c r="BO187" s="67"/>
      <c r="BP187" s="67"/>
      <c r="BQ187" s="67"/>
      <c r="BR187" s="67"/>
      <c r="BS187" s="67"/>
      <c r="BT187" s="67"/>
      <c r="BU187" s="67"/>
      <c r="BV187" s="67"/>
      <c r="BW187" s="67"/>
      <c r="BX187" s="67"/>
      <c r="BY187" s="67"/>
      <c r="BZ187" s="67"/>
      <c r="CA187" s="67"/>
      <c r="CB187" s="67"/>
      <c r="CC187" s="67"/>
      <c r="CD187" s="67"/>
      <c r="CE187" s="67"/>
      <c r="CF187" s="67"/>
      <c r="CG187" s="67"/>
      <c r="CH187" s="67"/>
      <c r="CI187" s="67"/>
      <c r="CJ187" s="67"/>
      <c r="CK187" s="67"/>
      <c r="CL187" s="67"/>
      <c r="CM187" s="67"/>
      <c r="CN187" s="67"/>
      <c r="CO187" s="67"/>
      <c r="CP187" s="67"/>
      <c r="CQ187" s="67"/>
      <c r="CR187" s="67"/>
      <c r="CS187" s="67"/>
      <c r="CT187" s="67"/>
      <c r="CU187" s="67"/>
      <c r="CV187" s="67"/>
      <c r="CW187" s="67"/>
      <c r="CX187" s="67"/>
    </row>
    <row r="188" spans="16:102" s="123" customFormat="1" ht="14.5" x14ac:dyDescent="0.35">
      <c r="P188" s="146"/>
      <c r="Q188" s="146"/>
      <c r="R188" s="146"/>
      <c r="S188" s="146"/>
      <c r="T188" s="146"/>
      <c r="U188" s="146"/>
      <c r="V188" s="146"/>
      <c r="W188" s="146"/>
      <c r="X188" s="146"/>
      <c r="Y188" s="146"/>
      <c r="Z188" s="146"/>
      <c r="AA188" s="146"/>
      <c r="AB188" s="146" t="s">
        <v>163</v>
      </c>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c r="BJ188" s="146"/>
      <c r="BK188" s="146"/>
      <c r="BL188" s="146"/>
      <c r="BM188" s="146"/>
      <c r="BN188" s="67"/>
      <c r="BO188" s="67"/>
      <c r="BP188" s="67"/>
      <c r="BQ188" s="67"/>
      <c r="BR188" s="67"/>
      <c r="BS188" s="67"/>
      <c r="BT188" s="67"/>
      <c r="BU188" s="67"/>
      <c r="BV188" s="67"/>
      <c r="BW188" s="67"/>
      <c r="BX188" s="67"/>
      <c r="BY188" s="67"/>
      <c r="BZ188" s="67"/>
      <c r="CA188" s="67"/>
      <c r="CB188" s="67"/>
      <c r="CC188" s="67"/>
      <c r="CD188" s="67"/>
      <c r="CE188" s="67"/>
      <c r="CF188" s="67"/>
      <c r="CG188" s="67"/>
      <c r="CH188" s="67"/>
      <c r="CI188" s="67"/>
      <c r="CJ188" s="67"/>
      <c r="CK188" s="67"/>
      <c r="CL188" s="67"/>
      <c r="CM188" s="67"/>
      <c r="CN188" s="67"/>
      <c r="CO188" s="67"/>
      <c r="CP188" s="67"/>
      <c r="CQ188" s="67"/>
      <c r="CR188" s="67"/>
      <c r="CS188" s="67"/>
      <c r="CT188" s="67"/>
      <c r="CU188" s="67"/>
      <c r="CV188" s="67"/>
      <c r="CW188" s="67"/>
      <c r="CX188" s="67"/>
    </row>
    <row r="189" spans="16:102" s="123" customFormat="1" ht="14.5" x14ac:dyDescent="0.35">
      <c r="P189" s="146"/>
      <c r="Q189" s="146"/>
      <c r="R189" s="146"/>
      <c r="S189" s="146"/>
      <c r="T189" s="146"/>
      <c r="U189" s="146"/>
      <c r="V189" s="146"/>
      <c r="W189" s="146"/>
      <c r="X189" s="146"/>
      <c r="Y189" s="146"/>
      <c r="Z189" s="146"/>
      <c r="AA189" s="146"/>
      <c r="AB189" s="146" t="s">
        <v>164</v>
      </c>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c r="BJ189" s="146"/>
      <c r="BK189" s="146"/>
      <c r="BL189" s="146"/>
      <c r="BM189" s="146"/>
      <c r="BN189" s="67"/>
      <c r="BO189" s="67"/>
      <c r="BP189" s="67"/>
      <c r="BQ189" s="67"/>
      <c r="BR189" s="67"/>
      <c r="BS189" s="67"/>
      <c r="BT189" s="67"/>
      <c r="BU189" s="67"/>
      <c r="BV189" s="67"/>
      <c r="BW189" s="67"/>
      <c r="BX189" s="67"/>
      <c r="BY189" s="67"/>
      <c r="BZ189" s="67"/>
      <c r="CA189" s="67"/>
      <c r="CB189" s="67"/>
      <c r="CC189" s="67"/>
      <c r="CD189" s="67"/>
      <c r="CE189" s="67"/>
      <c r="CF189" s="67"/>
      <c r="CG189" s="67"/>
      <c r="CH189" s="67"/>
      <c r="CI189" s="67"/>
      <c r="CJ189" s="67"/>
      <c r="CK189" s="67"/>
      <c r="CL189" s="67"/>
      <c r="CM189" s="67"/>
      <c r="CN189" s="67"/>
      <c r="CO189" s="67"/>
      <c r="CP189" s="67"/>
      <c r="CQ189" s="67"/>
      <c r="CR189" s="67"/>
      <c r="CS189" s="67"/>
      <c r="CT189" s="67"/>
      <c r="CU189" s="67"/>
      <c r="CV189" s="67"/>
      <c r="CW189" s="67"/>
      <c r="CX189" s="67"/>
    </row>
    <row r="190" spans="16:102" s="123" customFormat="1" ht="14.5" x14ac:dyDescent="0.35">
      <c r="P190" s="146"/>
      <c r="Q190" s="146"/>
      <c r="R190" s="146"/>
      <c r="S190" s="146"/>
      <c r="T190" s="146"/>
      <c r="U190" s="146"/>
      <c r="V190" s="146"/>
      <c r="W190" s="146"/>
      <c r="X190" s="146"/>
      <c r="Y190" s="146"/>
      <c r="Z190" s="146"/>
      <c r="AA190" s="146"/>
      <c r="AB190" s="146" t="s">
        <v>165</v>
      </c>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c r="BJ190" s="146"/>
      <c r="BK190" s="146"/>
      <c r="BL190" s="146"/>
      <c r="BM190" s="146"/>
      <c r="BN190" s="67"/>
      <c r="BO190" s="67"/>
      <c r="BP190" s="67"/>
      <c r="BQ190" s="67"/>
      <c r="BR190" s="67"/>
      <c r="BS190" s="67"/>
      <c r="BT190" s="67"/>
      <c r="BU190" s="67"/>
      <c r="BV190" s="67"/>
      <c r="BW190" s="67"/>
      <c r="BX190" s="67"/>
      <c r="BY190" s="67"/>
      <c r="BZ190" s="67"/>
      <c r="CA190" s="67"/>
      <c r="CB190" s="67"/>
      <c r="CC190" s="67"/>
      <c r="CD190" s="67"/>
      <c r="CE190" s="67"/>
      <c r="CF190" s="67"/>
      <c r="CG190" s="67"/>
      <c r="CH190" s="67"/>
      <c r="CI190" s="67"/>
      <c r="CJ190" s="67"/>
      <c r="CK190" s="67"/>
      <c r="CL190" s="67"/>
      <c r="CM190" s="67"/>
      <c r="CN190" s="67"/>
      <c r="CO190" s="67"/>
      <c r="CP190" s="67"/>
      <c r="CQ190" s="67"/>
      <c r="CR190" s="67"/>
      <c r="CS190" s="67"/>
      <c r="CT190" s="67"/>
      <c r="CU190" s="67"/>
      <c r="CV190" s="67"/>
      <c r="CW190" s="67"/>
      <c r="CX190" s="67"/>
    </row>
    <row r="191" spans="16:102" s="123" customFormat="1" ht="14.5" x14ac:dyDescent="0.35">
      <c r="P191" s="146"/>
      <c r="Q191" s="146"/>
      <c r="R191" s="146"/>
      <c r="S191" s="146"/>
      <c r="T191" s="146"/>
      <c r="U191" s="146"/>
      <c r="V191" s="146"/>
      <c r="W191" s="146"/>
      <c r="X191" s="146"/>
      <c r="Y191" s="146"/>
      <c r="Z191" s="146"/>
      <c r="AA191" s="146"/>
      <c r="AB191" s="146" t="s">
        <v>166</v>
      </c>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c r="BJ191" s="146"/>
      <c r="BK191" s="146"/>
      <c r="BL191" s="146"/>
      <c r="BM191" s="146"/>
      <c r="BN191" s="67"/>
      <c r="BO191" s="67"/>
      <c r="BP191" s="67"/>
      <c r="BQ191" s="67"/>
      <c r="BR191" s="67"/>
      <c r="BS191" s="67"/>
      <c r="BT191" s="67"/>
      <c r="BU191" s="67"/>
      <c r="BV191" s="67"/>
      <c r="BW191" s="67"/>
      <c r="BX191" s="67"/>
      <c r="BY191" s="67"/>
      <c r="BZ191" s="67"/>
      <c r="CA191" s="67"/>
      <c r="CB191" s="67"/>
      <c r="CC191" s="67"/>
      <c r="CD191" s="67"/>
      <c r="CE191" s="67"/>
      <c r="CF191" s="67"/>
      <c r="CG191" s="67"/>
      <c r="CH191" s="67"/>
      <c r="CI191" s="67"/>
      <c r="CJ191" s="67"/>
      <c r="CK191" s="67"/>
      <c r="CL191" s="67"/>
      <c r="CM191" s="67"/>
      <c r="CN191" s="67"/>
      <c r="CO191" s="67"/>
      <c r="CP191" s="67"/>
      <c r="CQ191" s="67"/>
      <c r="CR191" s="67"/>
      <c r="CS191" s="67"/>
      <c r="CT191" s="67"/>
      <c r="CU191" s="67"/>
      <c r="CV191" s="67"/>
      <c r="CW191" s="67"/>
      <c r="CX191" s="67"/>
    </row>
    <row r="192" spans="16:102" s="123" customFormat="1" ht="14.5" x14ac:dyDescent="0.35">
      <c r="P192" s="146"/>
      <c r="Q192" s="146"/>
      <c r="R192" s="146"/>
      <c r="S192" s="146"/>
      <c r="T192" s="146"/>
      <c r="U192" s="146"/>
      <c r="V192" s="146"/>
      <c r="W192" s="146"/>
      <c r="X192" s="146"/>
      <c r="Y192" s="146"/>
      <c r="Z192" s="146"/>
      <c r="AA192" s="146"/>
      <c r="AB192" s="146" t="s">
        <v>167</v>
      </c>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c r="BJ192" s="146"/>
      <c r="BK192" s="146"/>
      <c r="BL192" s="146"/>
      <c r="BM192" s="146"/>
      <c r="BN192" s="67"/>
      <c r="BO192" s="67"/>
      <c r="BP192" s="67"/>
      <c r="BQ192" s="67"/>
      <c r="BR192" s="67"/>
      <c r="BS192" s="67"/>
      <c r="BT192" s="67"/>
      <c r="BU192" s="67"/>
      <c r="BV192" s="67"/>
      <c r="BW192" s="67"/>
      <c r="BX192" s="67"/>
      <c r="BY192" s="67"/>
      <c r="BZ192" s="67"/>
      <c r="CA192" s="67"/>
      <c r="CB192" s="67"/>
      <c r="CC192" s="67"/>
      <c r="CD192" s="67"/>
      <c r="CE192" s="67"/>
      <c r="CF192" s="67"/>
      <c r="CG192" s="67"/>
      <c r="CH192" s="67"/>
      <c r="CI192" s="67"/>
      <c r="CJ192" s="67"/>
      <c r="CK192" s="67"/>
      <c r="CL192" s="67"/>
      <c r="CM192" s="67"/>
      <c r="CN192" s="67"/>
      <c r="CO192" s="67"/>
      <c r="CP192" s="67"/>
      <c r="CQ192" s="67"/>
      <c r="CR192" s="67"/>
      <c r="CS192" s="67"/>
      <c r="CT192" s="67"/>
      <c r="CU192" s="67"/>
      <c r="CV192" s="67"/>
      <c r="CW192" s="67"/>
      <c r="CX192" s="67"/>
    </row>
    <row r="193" spans="16:102" s="123" customFormat="1" ht="14.5" x14ac:dyDescent="0.35">
      <c r="P193" s="146"/>
      <c r="Q193" s="146"/>
      <c r="R193" s="146"/>
      <c r="S193" s="146"/>
      <c r="T193" s="146"/>
      <c r="U193" s="146"/>
      <c r="V193" s="146"/>
      <c r="W193" s="146"/>
      <c r="X193" s="146"/>
      <c r="Y193" s="146"/>
      <c r="Z193" s="146"/>
      <c r="AA193" s="146"/>
      <c r="AB193" s="146" t="s">
        <v>168</v>
      </c>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c r="BJ193" s="146"/>
      <c r="BK193" s="146"/>
      <c r="BL193" s="146"/>
      <c r="BM193" s="146"/>
      <c r="BN193" s="67"/>
      <c r="BO193" s="67"/>
      <c r="BP193" s="67"/>
      <c r="BQ193" s="67"/>
      <c r="BR193" s="67"/>
      <c r="BS193" s="67"/>
      <c r="BT193" s="67"/>
      <c r="BU193" s="67"/>
      <c r="BV193" s="67"/>
      <c r="BW193" s="67"/>
      <c r="BX193" s="67"/>
      <c r="BY193" s="67"/>
      <c r="BZ193" s="67"/>
      <c r="CA193" s="67"/>
      <c r="CB193" s="67"/>
      <c r="CC193" s="67"/>
      <c r="CD193" s="67"/>
      <c r="CE193" s="67"/>
      <c r="CF193" s="67"/>
      <c r="CG193" s="67"/>
      <c r="CH193" s="67"/>
      <c r="CI193" s="67"/>
      <c r="CJ193" s="67"/>
      <c r="CK193" s="67"/>
      <c r="CL193" s="67"/>
      <c r="CM193" s="67"/>
      <c r="CN193" s="67"/>
      <c r="CO193" s="67"/>
      <c r="CP193" s="67"/>
      <c r="CQ193" s="67"/>
      <c r="CR193" s="67"/>
      <c r="CS193" s="67"/>
      <c r="CT193" s="67"/>
      <c r="CU193" s="67"/>
      <c r="CV193" s="67"/>
      <c r="CW193" s="67"/>
      <c r="CX193" s="67"/>
    </row>
    <row r="194" spans="16:102" s="123" customFormat="1" ht="14.5" x14ac:dyDescent="0.35">
      <c r="P194" s="146"/>
      <c r="Q194" s="146"/>
      <c r="R194" s="146"/>
      <c r="S194" s="146"/>
      <c r="T194" s="146"/>
      <c r="U194" s="146"/>
      <c r="V194" s="146"/>
      <c r="W194" s="146"/>
      <c r="X194" s="146"/>
      <c r="Y194" s="146"/>
      <c r="Z194" s="146"/>
      <c r="AA194" s="146"/>
      <c r="AB194" s="146" t="s">
        <v>169</v>
      </c>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c r="BJ194" s="146"/>
      <c r="BK194" s="146"/>
      <c r="BL194" s="146"/>
      <c r="BM194" s="146"/>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7"/>
    </row>
    <row r="195" spans="16:102" s="123" customFormat="1" ht="14.5" x14ac:dyDescent="0.35">
      <c r="P195" s="146"/>
      <c r="Q195" s="146"/>
      <c r="R195" s="146"/>
      <c r="S195" s="146"/>
      <c r="T195" s="146"/>
      <c r="U195" s="146"/>
      <c r="V195" s="146"/>
      <c r="W195" s="146"/>
      <c r="X195" s="146"/>
      <c r="Y195" s="146"/>
      <c r="Z195" s="146"/>
      <c r="AA195" s="146"/>
      <c r="AB195" s="146" t="s">
        <v>170</v>
      </c>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c r="BJ195" s="146"/>
      <c r="BK195" s="146"/>
      <c r="BL195" s="146"/>
      <c r="BM195" s="146"/>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7"/>
    </row>
    <row r="196" spans="16:102" s="123" customFormat="1" ht="14.5" x14ac:dyDescent="0.35">
      <c r="P196" s="146"/>
      <c r="Q196" s="146"/>
      <c r="R196" s="146"/>
      <c r="S196" s="146"/>
      <c r="T196" s="146"/>
      <c r="U196" s="146"/>
      <c r="V196" s="146"/>
      <c r="W196" s="146"/>
      <c r="X196" s="146"/>
      <c r="Y196" s="146"/>
      <c r="Z196" s="146"/>
      <c r="AA196" s="146"/>
      <c r="AB196" s="146" t="s">
        <v>13</v>
      </c>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c r="BJ196" s="146"/>
      <c r="BK196" s="146"/>
      <c r="BL196" s="146"/>
      <c r="BM196" s="146"/>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7"/>
    </row>
    <row r="197" spans="16:102" s="123" customFormat="1" ht="14.5" x14ac:dyDescent="0.35">
      <c r="P197" s="146"/>
      <c r="Q197" s="146"/>
      <c r="R197" s="146"/>
      <c r="S197" s="146"/>
      <c r="T197" s="146"/>
      <c r="U197" s="146"/>
      <c r="V197" s="146"/>
      <c r="W197" s="146"/>
      <c r="X197" s="146"/>
      <c r="Y197" s="146"/>
      <c r="Z197" s="146"/>
      <c r="AA197" s="146"/>
      <c r="AB197" s="146" t="s">
        <v>171</v>
      </c>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c r="BJ197" s="146"/>
      <c r="BK197" s="146"/>
      <c r="BL197" s="146"/>
      <c r="BM197" s="146"/>
      <c r="BN197" s="67"/>
      <c r="BO197" s="67"/>
      <c r="BP197" s="67"/>
      <c r="BQ197" s="67"/>
      <c r="BR197" s="67"/>
      <c r="BS197" s="67"/>
      <c r="BT197" s="67"/>
      <c r="BU197" s="67"/>
      <c r="BV197" s="67"/>
      <c r="BW197" s="67"/>
      <c r="BX197" s="67"/>
      <c r="BY197" s="67"/>
      <c r="BZ197" s="67"/>
      <c r="CA197" s="67"/>
      <c r="CB197" s="67"/>
      <c r="CC197" s="67"/>
      <c r="CD197" s="67"/>
      <c r="CE197" s="67"/>
      <c r="CF197" s="67"/>
      <c r="CG197" s="67"/>
      <c r="CH197" s="67"/>
      <c r="CI197" s="67"/>
      <c r="CJ197" s="67"/>
      <c r="CK197" s="67"/>
      <c r="CL197" s="67"/>
      <c r="CM197" s="67"/>
      <c r="CN197" s="67"/>
      <c r="CO197" s="67"/>
      <c r="CP197" s="67"/>
      <c r="CQ197" s="67"/>
      <c r="CR197" s="67"/>
      <c r="CS197" s="67"/>
      <c r="CT197" s="67"/>
      <c r="CU197" s="67"/>
      <c r="CV197" s="67"/>
      <c r="CW197" s="67"/>
      <c r="CX197" s="67"/>
    </row>
    <row r="198" spans="16:102" s="123" customFormat="1" ht="14.5" x14ac:dyDescent="0.35">
      <c r="P198" s="146"/>
      <c r="Q198" s="146"/>
      <c r="R198" s="146"/>
      <c r="S198" s="146"/>
      <c r="T198" s="146"/>
      <c r="U198" s="146"/>
      <c r="V198" s="146"/>
      <c r="W198" s="146"/>
      <c r="X198" s="146"/>
      <c r="Y198" s="146"/>
      <c r="Z198" s="146"/>
      <c r="AA198" s="146"/>
      <c r="AB198" s="180" t="s">
        <v>172</v>
      </c>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c r="BJ198" s="146"/>
      <c r="BK198" s="146"/>
      <c r="BL198" s="146"/>
      <c r="BM198" s="146"/>
      <c r="BN198" s="67"/>
      <c r="BO198" s="67"/>
      <c r="BP198" s="67"/>
      <c r="BQ198" s="67"/>
      <c r="BR198" s="67"/>
      <c r="BS198" s="67"/>
      <c r="BT198" s="67"/>
      <c r="BU198" s="67"/>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c r="CV198" s="67"/>
      <c r="CW198" s="67"/>
      <c r="CX198" s="67"/>
    </row>
    <row r="199" spans="16:102" s="123" customFormat="1" ht="14.5" x14ac:dyDescent="0.35">
      <c r="P199" s="146"/>
      <c r="Q199" s="146"/>
      <c r="R199" s="146"/>
      <c r="S199" s="146"/>
      <c r="T199" s="146"/>
      <c r="U199" s="146"/>
      <c r="V199" s="146"/>
      <c r="W199" s="146"/>
      <c r="X199" s="146"/>
      <c r="Y199" s="146"/>
      <c r="Z199" s="146"/>
      <c r="AA199" s="146"/>
      <c r="AB199" s="146" t="s">
        <v>173</v>
      </c>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c r="BJ199" s="146"/>
      <c r="BK199" s="146"/>
      <c r="BL199" s="146"/>
      <c r="BM199" s="146"/>
      <c r="BN199" s="67"/>
      <c r="BO199" s="67"/>
      <c r="BP199" s="67"/>
      <c r="BQ199" s="67"/>
      <c r="BR199" s="67"/>
      <c r="BS199" s="67"/>
      <c r="BT199" s="67"/>
      <c r="BU199" s="67"/>
      <c r="BV199" s="67"/>
      <c r="BW199" s="67"/>
      <c r="BX199" s="67"/>
      <c r="BY199" s="67"/>
      <c r="BZ199" s="67"/>
      <c r="CA199" s="67"/>
      <c r="CB199" s="67"/>
      <c r="CC199" s="67"/>
      <c r="CD199" s="67"/>
      <c r="CE199" s="67"/>
      <c r="CF199" s="67"/>
      <c r="CG199" s="67"/>
      <c r="CH199" s="67"/>
      <c r="CI199" s="67"/>
      <c r="CJ199" s="67"/>
      <c r="CK199" s="67"/>
      <c r="CL199" s="67"/>
      <c r="CM199" s="67"/>
      <c r="CN199" s="67"/>
      <c r="CO199" s="67"/>
      <c r="CP199" s="67"/>
      <c r="CQ199" s="67"/>
      <c r="CR199" s="67"/>
      <c r="CS199" s="67"/>
      <c r="CT199" s="67"/>
      <c r="CU199" s="67"/>
      <c r="CV199" s="67"/>
      <c r="CW199" s="67"/>
      <c r="CX199" s="67"/>
    </row>
    <row r="200" spans="16:102" s="123" customFormat="1" ht="14.5" x14ac:dyDescent="0.35">
      <c r="P200" s="146"/>
      <c r="Q200" s="146"/>
      <c r="R200" s="146"/>
      <c r="S200" s="146"/>
      <c r="T200" s="146"/>
      <c r="U200" s="146"/>
      <c r="V200" s="146"/>
      <c r="W200" s="146"/>
      <c r="X200" s="146"/>
      <c r="Y200" s="146"/>
      <c r="Z200" s="146"/>
      <c r="AA200" s="146"/>
      <c r="AB200" s="146" t="s">
        <v>174</v>
      </c>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c r="BJ200" s="146"/>
      <c r="BK200" s="146"/>
      <c r="BL200" s="146"/>
      <c r="BM200" s="146"/>
      <c r="BN200" s="67"/>
      <c r="BO200" s="67"/>
      <c r="BP200" s="67"/>
      <c r="BQ200" s="67"/>
      <c r="BR200" s="67"/>
      <c r="BS200" s="67"/>
      <c r="BT200" s="67"/>
      <c r="BU200" s="67"/>
      <c r="BV200" s="67"/>
      <c r="BW200" s="67"/>
      <c r="BX200" s="67"/>
      <c r="BY200" s="67"/>
      <c r="BZ200" s="67"/>
      <c r="CA200" s="67"/>
      <c r="CB200" s="67"/>
      <c r="CC200" s="67"/>
      <c r="CD200" s="67"/>
      <c r="CE200" s="67"/>
      <c r="CF200" s="67"/>
      <c r="CG200" s="67"/>
      <c r="CH200" s="67"/>
      <c r="CI200" s="67"/>
      <c r="CJ200" s="67"/>
      <c r="CK200" s="67"/>
      <c r="CL200" s="67"/>
      <c r="CM200" s="67"/>
      <c r="CN200" s="67"/>
      <c r="CO200" s="67"/>
      <c r="CP200" s="67"/>
      <c r="CQ200" s="67"/>
      <c r="CR200" s="67"/>
      <c r="CS200" s="67"/>
      <c r="CT200" s="67"/>
      <c r="CU200" s="67"/>
      <c r="CV200" s="67"/>
      <c r="CW200" s="67"/>
      <c r="CX200" s="67"/>
    </row>
    <row r="201" spans="16:102" s="123" customFormat="1" ht="14.5" x14ac:dyDescent="0.35">
      <c r="P201" s="146"/>
      <c r="Q201" s="146"/>
      <c r="R201" s="146"/>
      <c r="S201" s="146"/>
      <c r="T201" s="146"/>
      <c r="U201" s="146"/>
      <c r="V201" s="146"/>
      <c r="W201" s="146"/>
      <c r="X201" s="146"/>
      <c r="Y201" s="146"/>
      <c r="Z201" s="146"/>
      <c r="AA201" s="146"/>
      <c r="AB201" s="146" t="s">
        <v>175</v>
      </c>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c r="BJ201" s="146"/>
      <c r="BK201" s="146"/>
      <c r="BL201" s="146"/>
      <c r="BM201" s="146"/>
      <c r="BN201" s="67"/>
      <c r="BO201" s="67"/>
      <c r="BP201" s="67"/>
      <c r="BQ201" s="67"/>
      <c r="BR201" s="67"/>
      <c r="BS201" s="67"/>
      <c r="BT201" s="67"/>
      <c r="BU201" s="67"/>
      <c r="BV201" s="67"/>
      <c r="BW201" s="67"/>
      <c r="BX201" s="67"/>
      <c r="BY201" s="67"/>
      <c r="BZ201" s="67"/>
      <c r="CA201" s="67"/>
      <c r="CB201" s="67"/>
      <c r="CC201" s="67"/>
      <c r="CD201" s="67"/>
      <c r="CE201" s="67"/>
      <c r="CF201" s="67"/>
      <c r="CG201" s="67"/>
      <c r="CH201" s="67"/>
      <c r="CI201" s="67"/>
      <c r="CJ201" s="67"/>
      <c r="CK201" s="67"/>
      <c r="CL201" s="67"/>
      <c r="CM201" s="67"/>
      <c r="CN201" s="67"/>
      <c r="CO201" s="67"/>
      <c r="CP201" s="67"/>
      <c r="CQ201" s="67"/>
      <c r="CR201" s="67"/>
      <c r="CS201" s="67"/>
      <c r="CT201" s="67"/>
      <c r="CU201" s="67"/>
      <c r="CV201" s="67"/>
      <c r="CW201" s="67"/>
      <c r="CX201" s="67"/>
    </row>
    <row r="202" spans="16:102" s="123" customFormat="1" ht="14.5" x14ac:dyDescent="0.35">
      <c r="P202" s="146"/>
      <c r="Q202" s="146"/>
      <c r="R202" s="146"/>
      <c r="S202" s="146"/>
      <c r="T202" s="146"/>
      <c r="U202" s="146"/>
      <c r="V202" s="146"/>
      <c r="W202" s="146"/>
      <c r="X202" s="146"/>
      <c r="Y202" s="146"/>
      <c r="Z202" s="146"/>
      <c r="AA202" s="146"/>
      <c r="AB202" s="146" t="s">
        <v>176</v>
      </c>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c r="BJ202" s="146"/>
      <c r="BK202" s="146"/>
      <c r="BL202" s="146"/>
      <c r="BM202" s="146"/>
      <c r="BN202" s="67"/>
      <c r="BO202" s="67"/>
      <c r="BP202" s="67"/>
      <c r="BQ202" s="67"/>
      <c r="BR202" s="67"/>
      <c r="BS202" s="67"/>
      <c r="BT202" s="67"/>
      <c r="BU202" s="67"/>
      <c r="BV202" s="67"/>
      <c r="BW202" s="67"/>
      <c r="BX202" s="67"/>
      <c r="BY202" s="67"/>
      <c r="BZ202" s="67"/>
      <c r="CA202" s="67"/>
      <c r="CB202" s="67"/>
      <c r="CC202" s="67"/>
      <c r="CD202" s="67"/>
      <c r="CE202" s="67"/>
      <c r="CF202" s="67"/>
      <c r="CG202" s="67"/>
      <c r="CH202" s="67"/>
      <c r="CI202" s="67"/>
      <c r="CJ202" s="67"/>
      <c r="CK202" s="67"/>
      <c r="CL202" s="67"/>
      <c r="CM202" s="67"/>
      <c r="CN202" s="67"/>
      <c r="CO202" s="67"/>
      <c r="CP202" s="67"/>
      <c r="CQ202" s="67"/>
      <c r="CR202" s="67"/>
      <c r="CS202" s="67"/>
      <c r="CT202" s="67"/>
      <c r="CU202" s="67"/>
      <c r="CV202" s="67"/>
      <c r="CW202" s="67"/>
      <c r="CX202" s="67"/>
    </row>
    <row r="203" spans="16:102" s="123" customFormat="1" ht="14.5" x14ac:dyDescent="0.35">
      <c r="P203" s="146"/>
      <c r="Q203" s="146"/>
      <c r="R203" s="146"/>
      <c r="S203" s="146"/>
      <c r="T203" s="146"/>
      <c r="U203" s="146"/>
      <c r="V203" s="146"/>
      <c r="W203" s="146"/>
      <c r="X203" s="146"/>
      <c r="Y203" s="146"/>
      <c r="Z203" s="146"/>
      <c r="AA203" s="146"/>
      <c r="AB203" s="146" t="s">
        <v>177</v>
      </c>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c r="BJ203" s="146"/>
      <c r="BK203" s="146"/>
      <c r="BL203" s="146"/>
      <c r="BM203" s="146"/>
      <c r="BN203" s="67"/>
      <c r="BO203" s="67"/>
      <c r="BP203" s="67"/>
      <c r="BQ203" s="67"/>
      <c r="BR203" s="67"/>
      <c r="BS203" s="67"/>
      <c r="BT203" s="67"/>
      <c r="BU203" s="67"/>
      <c r="BV203" s="67"/>
      <c r="BW203" s="67"/>
      <c r="BX203" s="67"/>
      <c r="BY203" s="67"/>
      <c r="BZ203" s="67"/>
      <c r="CA203" s="67"/>
      <c r="CB203" s="67"/>
      <c r="CC203" s="67"/>
      <c r="CD203" s="67"/>
      <c r="CE203" s="67"/>
      <c r="CF203" s="67"/>
      <c r="CG203" s="67"/>
      <c r="CH203" s="67"/>
      <c r="CI203" s="67"/>
      <c r="CJ203" s="67"/>
      <c r="CK203" s="67"/>
      <c r="CL203" s="67"/>
      <c r="CM203" s="67"/>
      <c r="CN203" s="67"/>
      <c r="CO203" s="67"/>
      <c r="CP203" s="67"/>
      <c r="CQ203" s="67"/>
      <c r="CR203" s="67"/>
      <c r="CS203" s="67"/>
      <c r="CT203" s="67"/>
      <c r="CU203" s="67"/>
      <c r="CV203" s="67"/>
      <c r="CW203" s="67"/>
      <c r="CX203" s="67"/>
    </row>
    <row r="204" spans="16:102" s="123" customFormat="1" ht="14.5" x14ac:dyDescent="0.35">
      <c r="P204" s="146"/>
      <c r="Q204" s="146"/>
      <c r="R204" s="146"/>
      <c r="S204" s="146"/>
      <c r="T204" s="146"/>
      <c r="U204" s="146"/>
      <c r="V204" s="146"/>
      <c r="W204" s="146"/>
      <c r="X204" s="146"/>
      <c r="Y204" s="146"/>
      <c r="Z204" s="146"/>
      <c r="AA204" s="146"/>
      <c r="AB204" s="146" t="s">
        <v>178</v>
      </c>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6"/>
      <c r="BI204" s="146"/>
      <c r="BJ204" s="146"/>
      <c r="BK204" s="146"/>
      <c r="BL204" s="146"/>
      <c r="BM204" s="146"/>
      <c r="BN204" s="67"/>
      <c r="BO204" s="67"/>
      <c r="BP204" s="67"/>
      <c r="BQ204" s="67"/>
      <c r="BR204" s="67"/>
      <c r="BS204" s="67"/>
      <c r="BT204" s="67"/>
      <c r="BU204" s="67"/>
      <c r="BV204" s="67"/>
      <c r="BW204" s="67"/>
      <c r="BX204" s="67"/>
      <c r="BY204" s="67"/>
      <c r="BZ204" s="67"/>
      <c r="CA204" s="67"/>
      <c r="CB204" s="67"/>
      <c r="CC204" s="67"/>
      <c r="CD204" s="67"/>
      <c r="CE204" s="67"/>
      <c r="CF204" s="67"/>
      <c r="CG204" s="67"/>
      <c r="CH204" s="67"/>
      <c r="CI204" s="67"/>
      <c r="CJ204" s="67"/>
      <c r="CK204" s="67"/>
      <c r="CL204" s="67"/>
      <c r="CM204" s="67"/>
      <c r="CN204" s="67"/>
      <c r="CO204" s="67"/>
      <c r="CP204" s="67"/>
      <c r="CQ204" s="67"/>
      <c r="CR204" s="67"/>
      <c r="CS204" s="67"/>
      <c r="CT204" s="67"/>
      <c r="CU204" s="67"/>
      <c r="CV204" s="67"/>
      <c r="CW204" s="67"/>
      <c r="CX204" s="67"/>
    </row>
    <row r="205" spans="16:102" s="123" customFormat="1" ht="14.5" x14ac:dyDescent="0.35">
      <c r="P205" s="146"/>
      <c r="Q205" s="146"/>
      <c r="R205" s="146"/>
      <c r="S205" s="146"/>
      <c r="T205" s="146"/>
      <c r="U205" s="146"/>
      <c r="V205" s="146"/>
      <c r="W205" s="146"/>
      <c r="X205" s="146"/>
      <c r="Y205" s="146"/>
      <c r="Z205" s="146"/>
      <c r="AA205" s="146"/>
      <c r="AB205" s="146" t="s">
        <v>179</v>
      </c>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c r="BH205" s="146"/>
      <c r="BI205" s="146"/>
      <c r="BJ205" s="146"/>
      <c r="BK205" s="146"/>
      <c r="BL205" s="146"/>
      <c r="BM205" s="146"/>
      <c r="BN205" s="67"/>
      <c r="BO205" s="67"/>
      <c r="BP205" s="67"/>
      <c r="BQ205" s="67"/>
      <c r="BR205" s="67"/>
      <c r="BS205" s="67"/>
      <c r="BT205" s="67"/>
      <c r="BU205" s="67"/>
      <c r="BV205" s="67"/>
      <c r="BW205" s="67"/>
      <c r="BX205" s="67"/>
      <c r="BY205" s="67"/>
      <c r="BZ205" s="67"/>
      <c r="CA205" s="67"/>
      <c r="CB205" s="67"/>
      <c r="CC205" s="67"/>
      <c r="CD205" s="67"/>
      <c r="CE205" s="67"/>
      <c r="CF205" s="67"/>
      <c r="CG205" s="67"/>
      <c r="CH205" s="67"/>
      <c r="CI205" s="67"/>
      <c r="CJ205" s="67"/>
      <c r="CK205" s="67"/>
      <c r="CL205" s="67"/>
      <c r="CM205" s="67"/>
      <c r="CN205" s="67"/>
      <c r="CO205" s="67"/>
      <c r="CP205" s="67"/>
      <c r="CQ205" s="67"/>
      <c r="CR205" s="67"/>
      <c r="CS205" s="67"/>
      <c r="CT205" s="67"/>
      <c r="CU205" s="67"/>
      <c r="CV205" s="67"/>
      <c r="CW205" s="67"/>
      <c r="CX205" s="67"/>
    </row>
    <row r="206" spans="16:102" s="123" customFormat="1" ht="14.5" x14ac:dyDescent="0.35">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6"/>
      <c r="BI206" s="146"/>
      <c r="BJ206" s="146"/>
      <c r="BK206" s="146"/>
      <c r="BL206" s="146"/>
      <c r="BM206" s="146"/>
      <c r="BN206" s="67"/>
      <c r="BO206" s="67"/>
      <c r="BP206" s="67"/>
      <c r="BQ206" s="67"/>
      <c r="BR206" s="67"/>
      <c r="BS206" s="67"/>
      <c r="BT206" s="67"/>
      <c r="BU206" s="67"/>
      <c r="BV206" s="67"/>
      <c r="BW206" s="67"/>
      <c r="BX206" s="67"/>
      <c r="BY206" s="67"/>
      <c r="BZ206" s="67"/>
      <c r="CA206" s="67"/>
      <c r="CB206" s="67"/>
      <c r="CC206" s="67"/>
      <c r="CD206" s="67"/>
      <c r="CE206" s="67"/>
      <c r="CF206" s="67"/>
      <c r="CG206" s="67"/>
      <c r="CH206" s="67"/>
      <c r="CI206" s="67"/>
      <c r="CJ206" s="67"/>
      <c r="CK206" s="67"/>
      <c r="CL206" s="67"/>
      <c r="CM206" s="67"/>
      <c r="CN206" s="67"/>
      <c r="CO206" s="67"/>
      <c r="CP206" s="67"/>
      <c r="CQ206" s="67"/>
      <c r="CR206" s="67"/>
      <c r="CS206" s="67"/>
      <c r="CT206" s="67"/>
      <c r="CU206" s="67"/>
      <c r="CV206" s="67"/>
      <c r="CW206" s="67"/>
      <c r="CX206" s="67"/>
    </row>
    <row r="207" spans="16:102" s="123" customFormat="1" ht="14.5" x14ac:dyDescent="0.35">
      <c r="P207" s="146"/>
      <c r="Q207" s="146"/>
      <c r="R207" s="146"/>
      <c r="S207" s="146"/>
      <c r="T207" s="146"/>
      <c r="U207" s="146"/>
      <c r="V207" s="146"/>
      <c r="W207" s="146"/>
      <c r="X207" s="146"/>
      <c r="Y207" s="146"/>
      <c r="Z207" s="146"/>
      <c r="AA207" s="146"/>
      <c r="AB207" s="146">
        <v>0</v>
      </c>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6"/>
      <c r="BI207" s="146"/>
      <c r="BJ207" s="146"/>
      <c r="BK207" s="146"/>
      <c r="BL207" s="146"/>
      <c r="BM207" s="146"/>
      <c r="BN207" s="67"/>
      <c r="BO207" s="67"/>
      <c r="BP207" s="67"/>
      <c r="BQ207" s="67"/>
      <c r="BR207" s="67"/>
      <c r="BS207" s="67"/>
      <c r="BT207" s="67"/>
      <c r="BU207" s="67"/>
      <c r="BV207" s="67"/>
      <c r="BW207" s="67"/>
      <c r="BX207" s="67"/>
      <c r="BY207" s="67"/>
      <c r="BZ207" s="67"/>
      <c r="CA207" s="67"/>
      <c r="CB207" s="67"/>
      <c r="CC207" s="67"/>
      <c r="CD207" s="67"/>
      <c r="CE207" s="67"/>
      <c r="CF207" s="67"/>
      <c r="CG207" s="67"/>
      <c r="CH207" s="67"/>
      <c r="CI207" s="67"/>
      <c r="CJ207" s="67"/>
      <c r="CK207" s="67"/>
      <c r="CL207" s="67"/>
      <c r="CM207" s="67"/>
      <c r="CN207" s="67"/>
      <c r="CO207" s="67"/>
      <c r="CP207" s="67"/>
      <c r="CQ207" s="67"/>
      <c r="CR207" s="67"/>
      <c r="CS207" s="67"/>
      <c r="CT207" s="67"/>
      <c r="CU207" s="67"/>
      <c r="CV207" s="67"/>
      <c r="CW207" s="67"/>
      <c r="CX207" s="67"/>
    </row>
    <row r="208" spans="16:102" s="123" customFormat="1" ht="14.5" x14ac:dyDescent="0.35">
      <c r="P208" s="146"/>
      <c r="Q208" s="146"/>
      <c r="R208" s="146"/>
      <c r="S208" s="146"/>
      <c r="T208" s="146"/>
      <c r="U208" s="146"/>
      <c r="V208" s="146"/>
      <c r="W208" s="146"/>
      <c r="X208" s="146"/>
      <c r="Y208" s="146"/>
      <c r="Z208" s="146"/>
      <c r="AA208" s="146"/>
      <c r="AB208" s="146">
        <v>1</v>
      </c>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6"/>
      <c r="BI208" s="146"/>
      <c r="BJ208" s="146"/>
      <c r="BK208" s="146"/>
      <c r="BL208" s="146"/>
      <c r="BM208" s="146"/>
      <c r="BN208" s="67"/>
      <c r="BO208" s="67"/>
      <c r="BP208" s="67"/>
      <c r="BQ208" s="67"/>
      <c r="BR208" s="67"/>
      <c r="BS208" s="67"/>
      <c r="BT208" s="67"/>
      <c r="BU208" s="67"/>
      <c r="BV208" s="67"/>
      <c r="BW208" s="67"/>
      <c r="BX208" s="67"/>
      <c r="BY208" s="67"/>
      <c r="BZ208" s="67"/>
      <c r="CA208" s="67"/>
      <c r="CB208" s="67"/>
      <c r="CC208" s="67"/>
      <c r="CD208" s="67"/>
      <c r="CE208" s="67"/>
      <c r="CF208" s="67"/>
      <c r="CG208" s="67"/>
      <c r="CH208" s="67"/>
      <c r="CI208" s="67"/>
      <c r="CJ208" s="67"/>
      <c r="CK208" s="67"/>
      <c r="CL208" s="67"/>
      <c r="CM208" s="67"/>
      <c r="CN208" s="67"/>
      <c r="CO208" s="67"/>
      <c r="CP208" s="67"/>
      <c r="CQ208" s="67"/>
      <c r="CR208" s="67"/>
      <c r="CS208" s="67"/>
      <c r="CT208" s="67"/>
      <c r="CU208" s="67"/>
      <c r="CV208" s="67"/>
      <c r="CW208" s="67"/>
      <c r="CX208" s="67"/>
    </row>
    <row r="209" spans="16:102" s="123" customFormat="1" ht="14.5" x14ac:dyDescent="0.35">
      <c r="P209" s="146"/>
      <c r="Q209" s="146"/>
      <c r="R209" s="146"/>
      <c r="S209" s="146"/>
      <c r="T209" s="146"/>
      <c r="U209" s="146"/>
      <c r="V209" s="146"/>
      <c r="W209" s="146"/>
      <c r="X209" s="146"/>
      <c r="Y209" s="146"/>
      <c r="Z209" s="146"/>
      <c r="AA209" s="146"/>
      <c r="AB209" s="146">
        <v>2</v>
      </c>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c r="BJ209" s="146"/>
      <c r="BK209" s="146"/>
      <c r="BL209" s="146"/>
      <c r="BM209" s="146"/>
      <c r="BN209" s="67"/>
      <c r="BO209" s="67"/>
      <c r="BP209" s="67"/>
      <c r="BQ209" s="67"/>
      <c r="BR209" s="67"/>
      <c r="BS209" s="67"/>
      <c r="BT209" s="67"/>
      <c r="BU209" s="67"/>
      <c r="BV209" s="67"/>
      <c r="BW209" s="67"/>
      <c r="BX209" s="67"/>
      <c r="BY209" s="67"/>
      <c r="BZ209" s="67"/>
      <c r="CA209" s="67"/>
      <c r="CB209" s="67"/>
      <c r="CC209" s="67"/>
      <c r="CD209" s="67"/>
      <c r="CE209" s="67"/>
      <c r="CF209" s="67"/>
      <c r="CG209" s="67"/>
      <c r="CH209" s="67"/>
      <c r="CI209" s="67"/>
      <c r="CJ209" s="67"/>
      <c r="CK209" s="67"/>
      <c r="CL209" s="67"/>
      <c r="CM209" s="67"/>
      <c r="CN209" s="67"/>
      <c r="CO209" s="67"/>
      <c r="CP209" s="67"/>
      <c r="CQ209" s="67"/>
      <c r="CR209" s="67"/>
      <c r="CS209" s="67"/>
      <c r="CT209" s="67"/>
      <c r="CU209" s="67"/>
      <c r="CV209" s="67"/>
      <c r="CW209" s="67"/>
      <c r="CX209" s="67"/>
    </row>
    <row r="210" spans="16:102" s="123" customFormat="1" ht="14.5" x14ac:dyDescent="0.35">
      <c r="P210" s="146"/>
      <c r="Q210" s="146"/>
      <c r="R210" s="146"/>
      <c r="S210" s="146"/>
      <c r="T210" s="146"/>
      <c r="U210" s="146"/>
      <c r="V210" s="146"/>
      <c r="W210" s="146"/>
      <c r="X210" s="146"/>
      <c r="Y210" s="146"/>
      <c r="Z210" s="146"/>
      <c r="AA210" s="146"/>
      <c r="AB210" s="146">
        <v>3</v>
      </c>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146"/>
      <c r="BH210" s="146"/>
      <c r="BI210" s="146"/>
      <c r="BJ210" s="146"/>
      <c r="BK210" s="146"/>
      <c r="BL210" s="146"/>
      <c r="BM210" s="146"/>
      <c r="BN210" s="67"/>
      <c r="BO210" s="67"/>
      <c r="BP210" s="67"/>
      <c r="BQ210" s="67"/>
      <c r="BR210" s="67"/>
      <c r="BS210" s="67"/>
      <c r="BT210" s="67"/>
      <c r="BU210" s="67"/>
      <c r="BV210" s="67"/>
      <c r="BW210" s="67"/>
      <c r="BX210" s="67"/>
      <c r="BY210" s="67"/>
      <c r="BZ210" s="67"/>
      <c r="CA210" s="67"/>
      <c r="CB210" s="67"/>
      <c r="CC210" s="67"/>
      <c r="CD210" s="67"/>
      <c r="CE210" s="67"/>
      <c r="CF210" s="67"/>
      <c r="CG210" s="67"/>
      <c r="CH210" s="67"/>
      <c r="CI210" s="67"/>
      <c r="CJ210" s="67"/>
      <c r="CK210" s="67"/>
      <c r="CL210" s="67"/>
      <c r="CM210" s="67"/>
      <c r="CN210" s="67"/>
      <c r="CO210" s="67"/>
      <c r="CP210" s="67"/>
      <c r="CQ210" s="67"/>
      <c r="CR210" s="67"/>
      <c r="CS210" s="67"/>
      <c r="CT210" s="67"/>
      <c r="CU210" s="67"/>
      <c r="CV210" s="67"/>
      <c r="CW210" s="67"/>
      <c r="CX210" s="67"/>
    </row>
    <row r="211" spans="16:102" s="123" customFormat="1" ht="14.5" x14ac:dyDescent="0.35">
      <c r="P211" s="146"/>
      <c r="Q211" s="146"/>
      <c r="R211" s="146"/>
      <c r="S211" s="146"/>
      <c r="T211" s="146"/>
      <c r="U211" s="146"/>
      <c r="V211" s="146"/>
      <c r="W211" s="146"/>
      <c r="X211" s="146"/>
      <c r="Y211" s="146"/>
      <c r="Z211" s="146"/>
      <c r="AA211" s="146"/>
      <c r="AB211" s="146">
        <v>4</v>
      </c>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146"/>
      <c r="BH211" s="146"/>
      <c r="BI211" s="146"/>
      <c r="BJ211" s="146"/>
      <c r="BK211" s="146"/>
      <c r="BL211" s="146"/>
      <c r="BM211" s="146"/>
      <c r="BN211" s="67"/>
      <c r="BO211" s="67"/>
      <c r="BP211" s="67"/>
      <c r="BQ211" s="67"/>
      <c r="BR211" s="67"/>
      <c r="BS211" s="67"/>
      <c r="BT211" s="67"/>
      <c r="BU211" s="67"/>
      <c r="BV211" s="67"/>
      <c r="BW211" s="67"/>
      <c r="BX211" s="67"/>
      <c r="BY211" s="67"/>
      <c r="BZ211" s="67"/>
      <c r="CA211" s="67"/>
      <c r="CB211" s="67"/>
      <c r="CC211" s="67"/>
      <c r="CD211" s="67"/>
      <c r="CE211" s="67"/>
      <c r="CF211" s="67"/>
      <c r="CG211" s="67"/>
      <c r="CH211" s="67"/>
      <c r="CI211" s="67"/>
      <c r="CJ211" s="67"/>
      <c r="CK211" s="67"/>
      <c r="CL211" s="67"/>
      <c r="CM211" s="67"/>
      <c r="CN211" s="67"/>
      <c r="CO211" s="67"/>
      <c r="CP211" s="67"/>
      <c r="CQ211" s="67"/>
      <c r="CR211" s="67"/>
      <c r="CS211" s="67"/>
      <c r="CT211" s="67"/>
      <c r="CU211" s="67"/>
      <c r="CV211" s="67"/>
      <c r="CW211" s="67"/>
      <c r="CX211" s="67"/>
    </row>
    <row r="212" spans="16:102" s="123" customFormat="1" ht="14.5" x14ac:dyDescent="0.35">
      <c r="P212" s="146"/>
      <c r="Q212" s="146"/>
      <c r="R212" s="146"/>
      <c r="S212" s="146"/>
      <c r="T212" s="146"/>
      <c r="U212" s="146"/>
      <c r="V212" s="146"/>
      <c r="W212" s="146"/>
      <c r="X212" s="146"/>
      <c r="Y212" s="146"/>
      <c r="Z212" s="146"/>
      <c r="AA212" s="146"/>
      <c r="AB212" s="146">
        <v>5</v>
      </c>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c r="BJ212" s="146"/>
      <c r="BK212" s="146"/>
      <c r="BL212" s="146"/>
      <c r="BM212" s="146"/>
      <c r="BN212" s="67"/>
      <c r="BO212" s="67"/>
      <c r="BP212" s="67"/>
      <c r="BQ212" s="67"/>
      <c r="BR212" s="67"/>
      <c r="BS212" s="67"/>
      <c r="BT212" s="67"/>
      <c r="BU212" s="67"/>
      <c r="BV212" s="67"/>
      <c r="BW212" s="67"/>
      <c r="BX212" s="67"/>
      <c r="BY212" s="67"/>
      <c r="BZ212" s="67"/>
      <c r="CA212" s="67"/>
      <c r="CB212" s="67"/>
      <c r="CC212" s="67"/>
      <c r="CD212" s="67"/>
      <c r="CE212" s="67"/>
      <c r="CF212" s="67"/>
      <c r="CG212" s="67"/>
      <c r="CH212" s="67"/>
      <c r="CI212" s="67"/>
      <c r="CJ212" s="67"/>
      <c r="CK212" s="67"/>
      <c r="CL212" s="67"/>
      <c r="CM212" s="67"/>
      <c r="CN212" s="67"/>
      <c r="CO212" s="67"/>
      <c r="CP212" s="67"/>
      <c r="CQ212" s="67"/>
      <c r="CR212" s="67"/>
      <c r="CS212" s="67"/>
      <c r="CT212" s="67"/>
      <c r="CU212" s="67"/>
      <c r="CV212" s="67"/>
      <c r="CW212" s="67"/>
      <c r="CX212" s="67"/>
    </row>
    <row r="213" spans="16:102" s="123" customFormat="1" ht="14.5" x14ac:dyDescent="0.35">
      <c r="P213" s="146"/>
      <c r="Q213" s="146"/>
      <c r="R213" s="146"/>
      <c r="S213" s="146"/>
      <c r="T213" s="146"/>
      <c r="U213" s="146"/>
      <c r="V213" s="146"/>
      <c r="W213" s="146"/>
      <c r="X213" s="146"/>
      <c r="Y213" s="146"/>
      <c r="Z213" s="146"/>
      <c r="AA213" s="146"/>
      <c r="AB213" s="146">
        <v>6</v>
      </c>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6"/>
      <c r="BI213" s="146"/>
      <c r="BJ213" s="146"/>
      <c r="BK213" s="146"/>
      <c r="BL213" s="146"/>
      <c r="BM213" s="146"/>
      <c r="BN213" s="67"/>
      <c r="BO213" s="67"/>
      <c r="BP213" s="67"/>
      <c r="BQ213" s="67"/>
      <c r="BR213" s="67"/>
      <c r="BS213" s="67"/>
      <c r="BT213" s="67"/>
      <c r="BU213" s="67"/>
      <c r="BV213" s="67"/>
      <c r="BW213" s="67"/>
      <c r="BX213" s="67"/>
      <c r="BY213" s="67"/>
      <c r="BZ213" s="67"/>
      <c r="CA213" s="67"/>
      <c r="CB213" s="67"/>
      <c r="CC213" s="67"/>
      <c r="CD213" s="67"/>
      <c r="CE213" s="67"/>
      <c r="CF213" s="67"/>
      <c r="CG213" s="67"/>
      <c r="CH213" s="67"/>
      <c r="CI213" s="67"/>
      <c r="CJ213" s="67"/>
      <c r="CK213" s="67"/>
      <c r="CL213" s="67"/>
      <c r="CM213" s="67"/>
      <c r="CN213" s="67"/>
      <c r="CO213" s="67"/>
      <c r="CP213" s="67"/>
      <c r="CQ213" s="67"/>
      <c r="CR213" s="67"/>
      <c r="CS213" s="67"/>
      <c r="CT213" s="67"/>
      <c r="CU213" s="67"/>
      <c r="CV213" s="67"/>
      <c r="CW213" s="67"/>
      <c r="CX213" s="67"/>
    </row>
    <row r="214" spans="16:102" s="123" customFormat="1" ht="14.5" x14ac:dyDescent="0.35">
      <c r="P214" s="146"/>
      <c r="Q214" s="146"/>
      <c r="R214" s="146"/>
      <c r="S214" s="146"/>
      <c r="T214" s="146"/>
      <c r="U214" s="146"/>
      <c r="V214" s="146"/>
      <c r="W214" s="146"/>
      <c r="X214" s="146"/>
      <c r="Y214" s="146"/>
      <c r="Z214" s="146"/>
      <c r="AA214" s="146"/>
      <c r="AB214" s="146">
        <v>7</v>
      </c>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c r="BJ214" s="146"/>
      <c r="BK214" s="146"/>
      <c r="BL214" s="146"/>
      <c r="BM214" s="146"/>
      <c r="BN214" s="67"/>
      <c r="BO214" s="67"/>
      <c r="BP214" s="67"/>
      <c r="BQ214" s="67"/>
      <c r="BR214" s="67"/>
      <c r="BS214" s="67"/>
      <c r="BT214" s="67"/>
      <c r="BU214" s="67"/>
      <c r="BV214" s="67"/>
      <c r="BW214" s="67"/>
      <c r="BX214" s="67"/>
      <c r="BY214" s="67"/>
      <c r="BZ214" s="67"/>
      <c r="CA214" s="67"/>
      <c r="CB214" s="67"/>
      <c r="CC214" s="67"/>
      <c r="CD214" s="67"/>
      <c r="CE214" s="67"/>
      <c r="CF214" s="67"/>
      <c r="CG214" s="67"/>
      <c r="CH214" s="67"/>
      <c r="CI214" s="67"/>
      <c r="CJ214" s="67"/>
      <c r="CK214" s="67"/>
      <c r="CL214" s="67"/>
      <c r="CM214" s="67"/>
      <c r="CN214" s="67"/>
      <c r="CO214" s="67"/>
      <c r="CP214" s="67"/>
      <c r="CQ214" s="67"/>
      <c r="CR214" s="67"/>
      <c r="CS214" s="67"/>
      <c r="CT214" s="67"/>
      <c r="CU214" s="67"/>
      <c r="CV214" s="67"/>
      <c r="CW214" s="67"/>
      <c r="CX214" s="67"/>
    </row>
    <row r="215" spans="16:102" s="123" customFormat="1" ht="14.5" x14ac:dyDescent="0.35">
      <c r="P215" s="146"/>
      <c r="Q215" s="146"/>
      <c r="R215" s="146"/>
      <c r="S215" s="146"/>
      <c r="T215" s="146"/>
      <c r="U215" s="146"/>
      <c r="V215" s="146"/>
      <c r="W215" s="146"/>
      <c r="X215" s="146"/>
      <c r="Y215" s="146"/>
      <c r="Z215" s="146"/>
      <c r="AA215" s="146"/>
      <c r="AB215" s="146">
        <v>8</v>
      </c>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c r="BJ215" s="146"/>
      <c r="BK215" s="146"/>
      <c r="BL215" s="146"/>
      <c r="BM215" s="146"/>
      <c r="BN215" s="67"/>
      <c r="BO215" s="67"/>
      <c r="BP215" s="67"/>
      <c r="BQ215" s="67"/>
      <c r="BR215" s="67"/>
      <c r="BS215" s="67"/>
      <c r="BT215" s="67"/>
      <c r="BU215" s="67"/>
      <c r="BV215" s="67"/>
      <c r="BW215" s="67"/>
      <c r="BX215" s="67"/>
      <c r="BY215" s="67"/>
      <c r="BZ215" s="67"/>
      <c r="CA215" s="67"/>
      <c r="CB215" s="67"/>
      <c r="CC215" s="67"/>
      <c r="CD215" s="67"/>
      <c r="CE215" s="67"/>
      <c r="CF215" s="67"/>
      <c r="CG215" s="67"/>
      <c r="CH215" s="67"/>
      <c r="CI215" s="67"/>
      <c r="CJ215" s="67"/>
      <c r="CK215" s="67"/>
      <c r="CL215" s="67"/>
      <c r="CM215" s="67"/>
      <c r="CN215" s="67"/>
      <c r="CO215" s="67"/>
      <c r="CP215" s="67"/>
      <c r="CQ215" s="67"/>
      <c r="CR215" s="67"/>
      <c r="CS215" s="67"/>
      <c r="CT215" s="67"/>
      <c r="CU215" s="67"/>
      <c r="CV215" s="67"/>
      <c r="CW215" s="67"/>
      <c r="CX215" s="67"/>
    </row>
    <row r="216" spans="16:102" s="123" customFormat="1" ht="14.5" x14ac:dyDescent="0.35">
      <c r="P216" s="146"/>
      <c r="Q216" s="146"/>
      <c r="R216" s="146"/>
      <c r="S216" s="146"/>
      <c r="T216" s="146"/>
      <c r="U216" s="146"/>
      <c r="V216" s="146"/>
      <c r="W216" s="146"/>
      <c r="X216" s="146"/>
      <c r="Y216" s="146"/>
      <c r="Z216" s="146"/>
      <c r="AA216" s="146"/>
      <c r="AB216" s="146">
        <v>9</v>
      </c>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6"/>
      <c r="BI216" s="146"/>
      <c r="BJ216" s="146"/>
      <c r="BK216" s="146"/>
      <c r="BL216" s="146"/>
      <c r="BM216" s="146"/>
      <c r="BN216" s="67"/>
      <c r="BO216" s="67"/>
      <c r="BP216" s="67"/>
      <c r="BQ216" s="67"/>
      <c r="BR216" s="67"/>
      <c r="BS216" s="67"/>
      <c r="BT216" s="67"/>
      <c r="BU216" s="67"/>
      <c r="BV216" s="67"/>
      <c r="BW216" s="67"/>
      <c r="BX216" s="67"/>
      <c r="BY216" s="67"/>
      <c r="BZ216" s="67"/>
      <c r="CA216" s="67"/>
      <c r="CB216" s="67"/>
      <c r="CC216" s="67"/>
      <c r="CD216" s="67"/>
      <c r="CE216" s="67"/>
      <c r="CF216" s="67"/>
      <c r="CG216" s="67"/>
      <c r="CH216" s="67"/>
      <c r="CI216" s="67"/>
      <c r="CJ216" s="67"/>
      <c r="CK216" s="67"/>
      <c r="CL216" s="67"/>
      <c r="CM216" s="67"/>
      <c r="CN216" s="67"/>
      <c r="CO216" s="67"/>
      <c r="CP216" s="67"/>
      <c r="CQ216" s="67"/>
      <c r="CR216" s="67"/>
      <c r="CS216" s="67"/>
      <c r="CT216" s="67"/>
      <c r="CU216" s="67"/>
      <c r="CV216" s="67"/>
      <c r="CW216" s="67"/>
      <c r="CX216" s="67"/>
    </row>
    <row r="217" spans="16:102" s="123" customFormat="1" ht="14.5" x14ac:dyDescent="0.35">
      <c r="P217" s="146"/>
      <c r="Q217" s="146"/>
      <c r="R217" s="146"/>
      <c r="S217" s="146"/>
      <c r="T217" s="146"/>
      <c r="U217" s="146"/>
      <c r="V217" s="146"/>
      <c r="W217" s="146"/>
      <c r="X217" s="146"/>
      <c r="Y217" s="146"/>
      <c r="Z217" s="146"/>
      <c r="AA217" s="146"/>
      <c r="AB217" s="146" t="s">
        <v>180</v>
      </c>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146"/>
      <c r="BH217" s="146"/>
      <c r="BI217" s="146"/>
      <c r="BJ217" s="146"/>
      <c r="BK217" s="146"/>
      <c r="BL217" s="146"/>
      <c r="BM217" s="146"/>
      <c r="BN217" s="67"/>
      <c r="BO217" s="67"/>
      <c r="BP217" s="67"/>
      <c r="BQ217" s="67"/>
      <c r="BR217" s="67"/>
      <c r="BS217" s="67"/>
      <c r="BT217" s="67"/>
      <c r="BU217" s="67"/>
      <c r="BV217" s="67"/>
      <c r="BW217" s="67"/>
      <c r="BX217" s="67"/>
      <c r="BY217" s="67"/>
      <c r="BZ217" s="67"/>
      <c r="CA217" s="67"/>
      <c r="CB217" s="67"/>
      <c r="CC217" s="67"/>
      <c r="CD217" s="67"/>
      <c r="CE217" s="67"/>
      <c r="CF217" s="67"/>
      <c r="CG217" s="67"/>
      <c r="CH217" s="67"/>
      <c r="CI217" s="67"/>
      <c r="CJ217" s="67"/>
      <c r="CK217" s="67"/>
      <c r="CL217" s="67"/>
      <c r="CM217" s="67"/>
      <c r="CN217" s="67"/>
      <c r="CO217" s="67"/>
      <c r="CP217" s="67"/>
      <c r="CQ217" s="67"/>
      <c r="CR217" s="67"/>
      <c r="CS217" s="67"/>
      <c r="CT217" s="67"/>
      <c r="CU217" s="67"/>
      <c r="CV217" s="67"/>
      <c r="CW217" s="67"/>
      <c r="CX217" s="67"/>
    </row>
    <row r="218" spans="16:102" s="123" customFormat="1" ht="14.5" x14ac:dyDescent="0.35">
      <c r="P218" s="146"/>
      <c r="Q218" s="146"/>
      <c r="R218" s="146"/>
      <c r="S218" s="146"/>
      <c r="T218" s="146"/>
      <c r="U218" s="146"/>
      <c r="V218" s="146"/>
      <c r="W218" s="146"/>
      <c r="X218" s="146"/>
      <c r="Y218" s="146"/>
      <c r="Z218" s="146"/>
      <c r="AA218" s="146"/>
      <c r="AB218" s="146" t="s">
        <v>181</v>
      </c>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c r="BJ218" s="146"/>
      <c r="BK218" s="146"/>
      <c r="BL218" s="146"/>
      <c r="BM218" s="146"/>
      <c r="BN218" s="67"/>
      <c r="BO218" s="67"/>
      <c r="BP218" s="67"/>
      <c r="BQ218" s="67"/>
      <c r="BR218" s="67"/>
      <c r="BS218" s="67"/>
      <c r="BT218" s="67"/>
      <c r="BU218" s="67"/>
      <c r="BV218" s="67"/>
      <c r="BW218" s="67"/>
      <c r="BX218" s="67"/>
      <c r="BY218" s="67"/>
      <c r="BZ218" s="67"/>
      <c r="CA218" s="67"/>
      <c r="CB218" s="67"/>
      <c r="CC218" s="67"/>
      <c r="CD218" s="67"/>
      <c r="CE218" s="67"/>
      <c r="CF218" s="67"/>
      <c r="CG218" s="67"/>
      <c r="CH218" s="67"/>
      <c r="CI218" s="67"/>
      <c r="CJ218" s="67"/>
      <c r="CK218" s="67"/>
      <c r="CL218" s="67"/>
      <c r="CM218" s="67"/>
      <c r="CN218" s="67"/>
      <c r="CO218" s="67"/>
      <c r="CP218" s="67"/>
      <c r="CQ218" s="67"/>
      <c r="CR218" s="67"/>
      <c r="CS218" s="67"/>
      <c r="CT218" s="67"/>
      <c r="CU218" s="67"/>
      <c r="CV218" s="67"/>
      <c r="CW218" s="67"/>
      <c r="CX218" s="67"/>
    </row>
    <row r="219" spans="16:102" s="123" customFormat="1" ht="14.5" x14ac:dyDescent="0.35">
      <c r="P219" s="146"/>
      <c r="Q219" s="146"/>
      <c r="R219" s="146"/>
      <c r="S219" s="146"/>
      <c r="T219" s="146"/>
      <c r="U219" s="146"/>
      <c r="V219" s="146"/>
      <c r="W219" s="146"/>
      <c r="X219" s="146"/>
      <c r="Y219" s="146"/>
      <c r="Z219" s="146"/>
      <c r="AA219" s="146"/>
      <c r="AB219" s="146" t="s">
        <v>182</v>
      </c>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6"/>
      <c r="BI219" s="146"/>
      <c r="BJ219" s="146"/>
      <c r="BK219" s="146"/>
      <c r="BL219" s="146"/>
      <c r="BM219" s="146"/>
      <c r="BN219" s="67"/>
      <c r="BO219" s="67"/>
      <c r="BP219" s="67"/>
      <c r="BQ219" s="67"/>
      <c r="BR219" s="67"/>
      <c r="BS219" s="67"/>
      <c r="BT219" s="67"/>
      <c r="BU219" s="67"/>
      <c r="BV219" s="67"/>
      <c r="BW219" s="67"/>
      <c r="BX219" s="67"/>
      <c r="BY219" s="67"/>
      <c r="BZ219" s="67"/>
      <c r="CA219" s="67"/>
      <c r="CB219" s="67"/>
      <c r="CC219" s="67"/>
      <c r="CD219" s="67"/>
      <c r="CE219" s="67"/>
      <c r="CF219" s="67"/>
      <c r="CG219" s="67"/>
      <c r="CH219" s="67"/>
      <c r="CI219" s="67"/>
      <c r="CJ219" s="67"/>
      <c r="CK219" s="67"/>
      <c r="CL219" s="67"/>
      <c r="CM219" s="67"/>
      <c r="CN219" s="67"/>
      <c r="CO219" s="67"/>
      <c r="CP219" s="67"/>
      <c r="CQ219" s="67"/>
      <c r="CR219" s="67"/>
      <c r="CS219" s="67"/>
      <c r="CT219" s="67"/>
      <c r="CU219" s="67"/>
      <c r="CV219" s="67"/>
      <c r="CW219" s="67"/>
      <c r="CX219" s="67"/>
    </row>
    <row r="220" spans="16:102" s="123" customFormat="1" ht="14.5" x14ac:dyDescent="0.35">
      <c r="P220" s="146"/>
      <c r="Q220" s="146"/>
      <c r="R220" s="146"/>
      <c r="S220" s="146"/>
      <c r="T220" s="146"/>
      <c r="U220" s="146"/>
      <c r="V220" s="146"/>
      <c r="W220" s="146"/>
      <c r="X220" s="146"/>
      <c r="Y220" s="146"/>
      <c r="Z220" s="146"/>
      <c r="AA220" s="146"/>
      <c r="AB220" s="146" t="s">
        <v>183</v>
      </c>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c r="BJ220" s="146"/>
      <c r="BK220" s="146"/>
      <c r="BL220" s="146"/>
      <c r="BM220" s="146"/>
      <c r="BN220" s="67"/>
      <c r="BO220" s="67"/>
      <c r="BP220" s="67"/>
      <c r="BQ220" s="67"/>
      <c r="BR220" s="67"/>
      <c r="BS220" s="67"/>
      <c r="BT220" s="67"/>
      <c r="BU220" s="67"/>
      <c r="BV220" s="67"/>
      <c r="BW220" s="67"/>
      <c r="BX220" s="67"/>
      <c r="BY220" s="67"/>
      <c r="BZ220" s="67"/>
      <c r="CA220" s="67"/>
      <c r="CB220" s="67"/>
      <c r="CC220" s="67"/>
      <c r="CD220" s="67"/>
      <c r="CE220" s="67"/>
      <c r="CF220" s="67"/>
      <c r="CG220" s="67"/>
      <c r="CH220" s="67"/>
      <c r="CI220" s="67"/>
      <c r="CJ220" s="67"/>
      <c r="CK220" s="67"/>
      <c r="CL220" s="67"/>
      <c r="CM220" s="67"/>
      <c r="CN220" s="67"/>
      <c r="CO220" s="67"/>
      <c r="CP220" s="67"/>
      <c r="CQ220" s="67"/>
      <c r="CR220" s="67"/>
      <c r="CS220" s="67"/>
      <c r="CT220" s="67"/>
      <c r="CU220" s="67"/>
      <c r="CV220" s="67"/>
      <c r="CW220" s="67"/>
      <c r="CX220" s="67"/>
    </row>
    <row r="221" spans="16:102" s="123" customFormat="1" ht="14.5" x14ac:dyDescent="0.35">
      <c r="P221" s="146"/>
      <c r="Q221" s="146"/>
      <c r="R221" s="146"/>
      <c r="S221" s="146"/>
      <c r="T221" s="146"/>
      <c r="U221" s="146"/>
      <c r="V221" s="146"/>
      <c r="W221" s="146"/>
      <c r="X221" s="146"/>
      <c r="Y221" s="146"/>
      <c r="Z221" s="146"/>
      <c r="AA221" s="146"/>
      <c r="AB221" s="146" t="s">
        <v>184</v>
      </c>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c r="BJ221" s="146"/>
      <c r="BK221" s="146"/>
      <c r="BL221" s="146"/>
      <c r="BM221" s="146"/>
      <c r="BN221" s="67"/>
      <c r="BO221" s="67"/>
      <c r="BP221" s="67"/>
      <c r="BQ221" s="67"/>
      <c r="BR221" s="67"/>
      <c r="BS221" s="67"/>
      <c r="BT221" s="67"/>
      <c r="BU221" s="67"/>
      <c r="BV221" s="67"/>
      <c r="BW221" s="67"/>
      <c r="BX221" s="67"/>
      <c r="BY221" s="67"/>
      <c r="BZ221" s="67"/>
      <c r="CA221" s="67"/>
      <c r="CB221" s="67"/>
      <c r="CC221" s="67"/>
      <c r="CD221" s="67"/>
      <c r="CE221" s="67"/>
      <c r="CF221" s="67"/>
      <c r="CG221" s="67"/>
      <c r="CH221" s="67"/>
      <c r="CI221" s="67"/>
      <c r="CJ221" s="67"/>
      <c r="CK221" s="67"/>
      <c r="CL221" s="67"/>
      <c r="CM221" s="67"/>
      <c r="CN221" s="67"/>
      <c r="CO221" s="67"/>
      <c r="CP221" s="67"/>
      <c r="CQ221" s="67"/>
      <c r="CR221" s="67"/>
      <c r="CS221" s="67"/>
      <c r="CT221" s="67"/>
      <c r="CU221" s="67"/>
      <c r="CV221" s="67"/>
      <c r="CW221" s="67"/>
      <c r="CX221" s="67"/>
    </row>
    <row r="222" spans="16:102" s="123" customFormat="1" ht="14.5" x14ac:dyDescent="0.35">
      <c r="P222" s="146"/>
      <c r="Q222" s="146"/>
      <c r="R222" s="146"/>
      <c r="S222" s="146"/>
      <c r="T222" s="146"/>
      <c r="U222" s="146"/>
      <c r="V222" s="146"/>
      <c r="W222" s="146"/>
      <c r="X222" s="146"/>
      <c r="Y222" s="146"/>
      <c r="Z222" s="146"/>
      <c r="AA222" s="146"/>
      <c r="AB222" s="146" t="s">
        <v>185</v>
      </c>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6"/>
      <c r="BI222" s="146"/>
      <c r="BJ222" s="146"/>
      <c r="BK222" s="146"/>
      <c r="BL222" s="146"/>
      <c r="BM222" s="146"/>
      <c r="BN222" s="67"/>
      <c r="BO222" s="67"/>
      <c r="BP222" s="67"/>
      <c r="BQ222" s="67"/>
      <c r="BR222" s="67"/>
      <c r="BS222" s="67"/>
      <c r="BT222" s="67"/>
      <c r="BU222" s="67"/>
      <c r="BV222" s="67"/>
      <c r="BW222" s="67"/>
      <c r="BX222" s="67"/>
      <c r="BY222" s="67"/>
      <c r="BZ222" s="67"/>
      <c r="CA222" s="67"/>
      <c r="CB222" s="67"/>
      <c r="CC222" s="67"/>
      <c r="CD222" s="67"/>
      <c r="CE222" s="67"/>
      <c r="CF222" s="67"/>
      <c r="CG222" s="67"/>
      <c r="CH222" s="67"/>
      <c r="CI222" s="67"/>
      <c r="CJ222" s="67"/>
      <c r="CK222" s="67"/>
      <c r="CL222" s="67"/>
      <c r="CM222" s="67"/>
      <c r="CN222" s="67"/>
      <c r="CO222" s="67"/>
      <c r="CP222" s="67"/>
      <c r="CQ222" s="67"/>
      <c r="CR222" s="67"/>
      <c r="CS222" s="67"/>
      <c r="CT222" s="67"/>
      <c r="CU222" s="67"/>
      <c r="CV222" s="67"/>
      <c r="CW222" s="67"/>
      <c r="CX222" s="67"/>
    </row>
    <row r="223" spans="16:102" s="123" customFormat="1" ht="14.5" x14ac:dyDescent="0.35">
      <c r="P223" s="146"/>
      <c r="Q223" s="146"/>
      <c r="R223" s="146"/>
      <c r="S223" s="146"/>
      <c r="T223" s="146"/>
      <c r="U223" s="146"/>
      <c r="V223" s="146"/>
      <c r="W223" s="146"/>
      <c r="X223" s="146"/>
      <c r="Y223" s="146"/>
      <c r="Z223" s="146"/>
      <c r="AA223" s="146"/>
      <c r="AB223" s="146" t="s">
        <v>186</v>
      </c>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c r="BJ223" s="146"/>
      <c r="BK223" s="146"/>
      <c r="BL223" s="146"/>
      <c r="BM223" s="146"/>
      <c r="BN223" s="67"/>
      <c r="BO223" s="67"/>
      <c r="BP223" s="67"/>
      <c r="BQ223" s="67"/>
      <c r="BR223" s="67"/>
      <c r="BS223" s="67"/>
      <c r="BT223" s="67"/>
      <c r="BU223" s="67"/>
      <c r="BV223" s="67"/>
      <c r="BW223" s="67"/>
      <c r="BX223" s="67"/>
      <c r="BY223" s="67"/>
      <c r="BZ223" s="67"/>
      <c r="CA223" s="67"/>
      <c r="CB223" s="67"/>
      <c r="CC223" s="67"/>
      <c r="CD223" s="67"/>
      <c r="CE223" s="67"/>
      <c r="CF223" s="67"/>
      <c r="CG223" s="67"/>
      <c r="CH223" s="67"/>
      <c r="CI223" s="67"/>
      <c r="CJ223" s="67"/>
      <c r="CK223" s="67"/>
      <c r="CL223" s="67"/>
      <c r="CM223" s="67"/>
      <c r="CN223" s="67"/>
      <c r="CO223" s="67"/>
      <c r="CP223" s="67"/>
      <c r="CQ223" s="67"/>
      <c r="CR223" s="67"/>
      <c r="CS223" s="67"/>
      <c r="CT223" s="67"/>
      <c r="CU223" s="67"/>
      <c r="CV223" s="67"/>
      <c r="CW223" s="67"/>
      <c r="CX223" s="67"/>
    </row>
    <row r="224" spans="16:102" s="123" customFormat="1" ht="14.5" x14ac:dyDescent="0.35">
      <c r="P224" s="146"/>
      <c r="Q224" s="146"/>
      <c r="R224" s="146"/>
      <c r="S224" s="146"/>
      <c r="T224" s="146"/>
      <c r="U224" s="146"/>
      <c r="V224" s="146"/>
      <c r="W224" s="146"/>
      <c r="X224" s="146"/>
      <c r="Y224" s="146"/>
      <c r="Z224" s="146"/>
      <c r="AA224" s="146"/>
      <c r="AB224" s="146" t="s">
        <v>187</v>
      </c>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6"/>
      <c r="BI224" s="146"/>
      <c r="BJ224" s="146"/>
      <c r="BK224" s="146"/>
      <c r="BL224" s="146"/>
      <c r="BM224" s="146"/>
      <c r="BN224" s="67"/>
      <c r="BO224" s="67"/>
      <c r="BP224" s="67"/>
      <c r="BQ224" s="67"/>
      <c r="BR224" s="67"/>
      <c r="BS224" s="67"/>
      <c r="BT224" s="67"/>
      <c r="BU224" s="67"/>
      <c r="BV224" s="67"/>
      <c r="BW224" s="67"/>
      <c r="BX224" s="67"/>
      <c r="BY224" s="67"/>
      <c r="BZ224" s="67"/>
      <c r="CA224" s="67"/>
      <c r="CB224" s="67"/>
      <c r="CC224" s="67"/>
      <c r="CD224" s="67"/>
      <c r="CE224" s="67"/>
      <c r="CF224" s="67"/>
      <c r="CG224" s="67"/>
      <c r="CH224" s="67"/>
      <c r="CI224" s="67"/>
      <c r="CJ224" s="67"/>
      <c r="CK224" s="67"/>
      <c r="CL224" s="67"/>
      <c r="CM224" s="67"/>
      <c r="CN224" s="67"/>
      <c r="CO224" s="67"/>
      <c r="CP224" s="67"/>
      <c r="CQ224" s="67"/>
      <c r="CR224" s="67"/>
      <c r="CS224" s="67"/>
      <c r="CT224" s="67"/>
      <c r="CU224" s="67"/>
      <c r="CV224" s="67"/>
      <c r="CW224" s="67"/>
      <c r="CX224" s="67"/>
    </row>
    <row r="225" spans="16:102" s="123" customFormat="1" ht="14.5" x14ac:dyDescent="0.35">
      <c r="P225" s="146"/>
      <c r="Q225" s="146"/>
      <c r="R225" s="146"/>
      <c r="S225" s="146"/>
      <c r="T225" s="146"/>
      <c r="U225" s="146"/>
      <c r="V225" s="146"/>
      <c r="W225" s="146"/>
      <c r="X225" s="146"/>
      <c r="Y225" s="146"/>
      <c r="Z225" s="146"/>
      <c r="AA225" s="146"/>
      <c r="AB225" s="146" t="s">
        <v>188</v>
      </c>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6"/>
      <c r="BI225" s="146"/>
      <c r="BJ225" s="146"/>
      <c r="BK225" s="146"/>
      <c r="BL225" s="146"/>
      <c r="BM225" s="146"/>
      <c r="BN225" s="67"/>
      <c r="BO225" s="67"/>
      <c r="BP225" s="67"/>
      <c r="BQ225" s="67"/>
      <c r="BR225" s="67"/>
      <c r="BS225" s="67"/>
      <c r="BT225" s="67"/>
      <c r="BU225" s="67"/>
      <c r="BV225" s="67"/>
      <c r="BW225" s="67"/>
      <c r="BX225" s="67"/>
      <c r="BY225" s="67"/>
      <c r="BZ225" s="67"/>
      <c r="CA225" s="67"/>
      <c r="CB225" s="67"/>
      <c r="CC225" s="67"/>
      <c r="CD225" s="67"/>
      <c r="CE225" s="67"/>
      <c r="CF225" s="67"/>
      <c r="CG225" s="67"/>
      <c r="CH225" s="67"/>
      <c r="CI225" s="67"/>
      <c r="CJ225" s="67"/>
      <c r="CK225" s="67"/>
      <c r="CL225" s="67"/>
      <c r="CM225" s="67"/>
      <c r="CN225" s="67"/>
      <c r="CO225" s="67"/>
      <c r="CP225" s="67"/>
      <c r="CQ225" s="67"/>
      <c r="CR225" s="67"/>
      <c r="CS225" s="67"/>
      <c r="CT225" s="67"/>
      <c r="CU225" s="67"/>
      <c r="CV225" s="67"/>
      <c r="CW225" s="67"/>
      <c r="CX225" s="67"/>
    </row>
    <row r="226" spans="16:102" s="123" customFormat="1" ht="14.5" x14ac:dyDescent="0.35">
      <c r="P226" s="146"/>
      <c r="Q226" s="146"/>
      <c r="R226" s="146"/>
      <c r="S226" s="146"/>
      <c r="T226" s="146"/>
      <c r="U226" s="146"/>
      <c r="V226" s="146"/>
      <c r="W226" s="146"/>
      <c r="X226" s="146"/>
      <c r="Y226" s="146"/>
      <c r="Z226" s="146"/>
      <c r="AA226" s="146"/>
      <c r="AB226" s="146" t="s">
        <v>189</v>
      </c>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c r="BJ226" s="146"/>
      <c r="BK226" s="146"/>
      <c r="BL226" s="146"/>
      <c r="BM226" s="146"/>
      <c r="BN226" s="67"/>
      <c r="BO226" s="67"/>
      <c r="BP226" s="67"/>
      <c r="BQ226" s="67"/>
      <c r="BR226" s="67"/>
      <c r="BS226" s="67"/>
      <c r="BT226" s="67"/>
      <c r="BU226" s="67"/>
      <c r="BV226" s="67"/>
      <c r="BW226" s="67"/>
      <c r="BX226" s="67"/>
      <c r="BY226" s="67"/>
      <c r="BZ226" s="67"/>
      <c r="CA226" s="67"/>
      <c r="CB226" s="67"/>
      <c r="CC226" s="67"/>
      <c r="CD226" s="67"/>
      <c r="CE226" s="67"/>
      <c r="CF226" s="67"/>
      <c r="CG226" s="67"/>
      <c r="CH226" s="67"/>
      <c r="CI226" s="67"/>
      <c r="CJ226" s="67"/>
      <c r="CK226" s="67"/>
      <c r="CL226" s="67"/>
      <c r="CM226" s="67"/>
      <c r="CN226" s="67"/>
      <c r="CO226" s="67"/>
      <c r="CP226" s="67"/>
      <c r="CQ226" s="67"/>
      <c r="CR226" s="67"/>
      <c r="CS226" s="67"/>
      <c r="CT226" s="67"/>
      <c r="CU226" s="67"/>
      <c r="CV226" s="67"/>
      <c r="CW226" s="67"/>
      <c r="CX226" s="67"/>
    </row>
    <row r="227" spans="16:102" s="123" customFormat="1" ht="14.5" x14ac:dyDescent="0.35">
      <c r="P227" s="146"/>
      <c r="Q227" s="146"/>
      <c r="R227" s="146"/>
      <c r="S227" s="146"/>
      <c r="T227" s="146"/>
      <c r="U227" s="146"/>
      <c r="V227" s="146"/>
      <c r="W227" s="146"/>
      <c r="X227" s="146"/>
      <c r="Y227" s="146"/>
      <c r="Z227" s="146"/>
      <c r="AA227" s="146"/>
      <c r="AB227" s="146" t="s">
        <v>190</v>
      </c>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c r="BJ227" s="146"/>
      <c r="BK227" s="146"/>
      <c r="BL227" s="146"/>
      <c r="BM227" s="146"/>
      <c r="BN227" s="67"/>
      <c r="BO227" s="67"/>
      <c r="BP227" s="67"/>
      <c r="BQ227" s="67"/>
      <c r="BR227" s="67"/>
      <c r="BS227" s="67"/>
      <c r="BT227" s="67"/>
      <c r="BU227" s="67"/>
      <c r="BV227" s="67"/>
      <c r="BW227" s="67"/>
      <c r="BX227" s="67"/>
      <c r="BY227" s="67"/>
      <c r="BZ227" s="67"/>
      <c r="CA227" s="67"/>
      <c r="CB227" s="67"/>
      <c r="CC227" s="67"/>
      <c r="CD227" s="67"/>
      <c r="CE227" s="67"/>
      <c r="CF227" s="67"/>
      <c r="CG227" s="67"/>
      <c r="CH227" s="67"/>
      <c r="CI227" s="67"/>
      <c r="CJ227" s="67"/>
      <c r="CK227" s="67"/>
      <c r="CL227" s="67"/>
      <c r="CM227" s="67"/>
      <c r="CN227" s="67"/>
      <c r="CO227" s="67"/>
      <c r="CP227" s="67"/>
      <c r="CQ227" s="67"/>
      <c r="CR227" s="67"/>
      <c r="CS227" s="67"/>
      <c r="CT227" s="67"/>
      <c r="CU227" s="67"/>
      <c r="CV227" s="67"/>
      <c r="CW227" s="67"/>
      <c r="CX227" s="67"/>
    </row>
    <row r="228" spans="16:102" s="123" customFormat="1" ht="14.5" x14ac:dyDescent="0.35">
      <c r="P228" s="146"/>
      <c r="Q228" s="146"/>
      <c r="R228" s="146"/>
      <c r="S228" s="146"/>
      <c r="T228" s="146"/>
      <c r="U228" s="146"/>
      <c r="V228" s="146"/>
      <c r="W228" s="146"/>
      <c r="X228" s="146"/>
      <c r="Y228" s="146"/>
      <c r="Z228" s="146"/>
      <c r="AA228" s="146"/>
      <c r="AB228" s="146" t="s">
        <v>191</v>
      </c>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c r="BJ228" s="146"/>
      <c r="BK228" s="146"/>
      <c r="BL228" s="146"/>
      <c r="BM228" s="146"/>
      <c r="BN228" s="67"/>
      <c r="BO228" s="67"/>
      <c r="BP228" s="67"/>
      <c r="BQ228" s="67"/>
      <c r="BR228" s="67"/>
      <c r="BS228" s="67"/>
      <c r="BT228" s="67"/>
      <c r="BU228" s="67"/>
      <c r="BV228" s="67"/>
      <c r="BW228" s="67"/>
      <c r="BX228" s="67"/>
      <c r="BY228" s="67"/>
      <c r="BZ228" s="67"/>
      <c r="CA228" s="67"/>
      <c r="CB228" s="67"/>
      <c r="CC228" s="67"/>
      <c r="CD228" s="67"/>
      <c r="CE228" s="67"/>
      <c r="CF228" s="67"/>
      <c r="CG228" s="67"/>
      <c r="CH228" s="67"/>
      <c r="CI228" s="67"/>
      <c r="CJ228" s="67"/>
      <c r="CK228" s="67"/>
      <c r="CL228" s="67"/>
      <c r="CM228" s="67"/>
      <c r="CN228" s="67"/>
      <c r="CO228" s="67"/>
      <c r="CP228" s="67"/>
      <c r="CQ228" s="67"/>
      <c r="CR228" s="67"/>
      <c r="CS228" s="67"/>
      <c r="CT228" s="67"/>
      <c r="CU228" s="67"/>
      <c r="CV228" s="67"/>
      <c r="CW228" s="67"/>
      <c r="CX228" s="67"/>
    </row>
    <row r="229" spans="16:102" s="123" customFormat="1" ht="14.5" x14ac:dyDescent="0.35">
      <c r="P229" s="146"/>
      <c r="Q229" s="146"/>
      <c r="R229" s="146"/>
      <c r="S229" s="146"/>
      <c r="T229" s="146"/>
      <c r="U229" s="146"/>
      <c r="V229" s="146"/>
      <c r="W229" s="146"/>
      <c r="X229" s="146"/>
      <c r="Y229" s="146"/>
      <c r="Z229" s="146"/>
      <c r="AA229" s="146"/>
      <c r="AB229" s="146" t="s">
        <v>192</v>
      </c>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c r="AY229" s="146"/>
      <c r="AZ229" s="146"/>
      <c r="BA229" s="146"/>
      <c r="BB229" s="146"/>
      <c r="BC229" s="146"/>
      <c r="BD229" s="146"/>
      <c r="BE229" s="146"/>
      <c r="BF229" s="146"/>
      <c r="BG229" s="146"/>
      <c r="BH229" s="146"/>
      <c r="BI229" s="146"/>
      <c r="BJ229" s="146"/>
      <c r="BK229" s="146"/>
      <c r="BL229" s="146"/>
      <c r="BM229" s="146"/>
      <c r="BN229" s="67"/>
      <c r="BO229" s="67"/>
      <c r="BP229" s="67"/>
      <c r="BQ229" s="67"/>
      <c r="BR229" s="67"/>
      <c r="BS229" s="67"/>
      <c r="BT229" s="67"/>
      <c r="BU229" s="67"/>
      <c r="BV229" s="67"/>
      <c r="BW229" s="67"/>
      <c r="BX229" s="67"/>
      <c r="BY229" s="67"/>
      <c r="BZ229" s="67"/>
      <c r="CA229" s="67"/>
      <c r="CB229" s="67"/>
      <c r="CC229" s="67"/>
      <c r="CD229" s="67"/>
      <c r="CE229" s="67"/>
      <c r="CF229" s="67"/>
      <c r="CG229" s="67"/>
      <c r="CH229" s="67"/>
      <c r="CI229" s="67"/>
      <c r="CJ229" s="67"/>
      <c r="CK229" s="67"/>
      <c r="CL229" s="67"/>
      <c r="CM229" s="67"/>
      <c r="CN229" s="67"/>
      <c r="CO229" s="67"/>
      <c r="CP229" s="67"/>
      <c r="CQ229" s="67"/>
      <c r="CR229" s="67"/>
      <c r="CS229" s="67"/>
      <c r="CT229" s="67"/>
      <c r="CU229" s="67"/>
      <c r="CV229" s="67"/>
      <c r="CW229" s="67"/>
      <c r="CX229" s="67"/>
    </row>
    <row r="230" spans="16:102" s="123" customFormat="1" ht="14.5" x14ac:dyDescent="0.35">
      <c r="P230" s="146"/>
      <c r="Q230" s="146"/>
      <c r="R230" s="146"/>
      <c r="S230" s="146"/>
      <c r="T230" s="146"/>
      <c r="U230" s="146"/>
      <c r="V230" s="146"/>
      <c r="W230" s="146"/>
      <c r="X230" s="146"/>
      <c r="Y230" s="146"/>
      <c r="Z230" s="146"/>
      <c r="AA230" s="146"/>
      <c r="AB230" s="146" t="s">
        <v>193</v>
      </c>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c r="BJ230" s="146"/>
      <c r="BK230" s="146"/>
      <c r="BL230" s="146"/>
      <c r="BM230" s="146"/>
      <c r="BN230" s="67"/>
      <c r="BO230" s="67"/>
      <c r="BP230" s="67"/>
      <c r="BQ230" s="67"/>
      <c r="BR230" s="67"/>
      <c r="BS230" s="67"/>
      <c r="BT230" s="67"/>
      <c r="BU230" s="67"/>
      <c r="BV230" s="67"/>
      <c r="BW230" s="67"/>
      <c r="BX230" s="67"/>
      <c r="BY230" s="67"/>
      <c r="BZ230" s="67"/>
      <c r="CA230" s="67"/>
      <c r="CB230" s="67"/>
      <c r="CC230" s="67"/>
      <c r="CD230" s="67"/>
      <c r="CE230" s="67"/>
      <c r="CF230" s="67"/>
      <c r="CG230" s="67"/>
      <c r="CH230" s="67"/>
      <c r="CI230" s="67"/>
      <c r="CJ230" s="67"/>
      <c r="CK230" s="67"/>
      <c r="CL230" s="67"/>
      <c r="CM230" s="67"/>
      <c r="CN230" s="67"/>
      <c r="CO230" s="67"/>
      <c r="CP230" s="67"/>
      <c r="CQ230" s="67"/>
      <c r="CR230" s="67"/>
      <c r="CS230" s="67"/>
      <c r="CT230" s="67"/>
      <c r="CU230" s="67"/>
      <c r="CV230" s="67"/>
      <c r="CW230" s="67"/>
      <c r="CX230" s="67"/>
    </row>
    <row r="231" spans="16:102" s="123" customFormat="1" ht="14.5" x14ac:dyDescent="0.35">
      <c r="P231" s="146"/>
      <c r="Q231" s="146"/>
      <c r="R231" s="146"/>
      <c r="S231" s="146"/>
      <c r="T231" s="146"/>
      <c r="U231" s="146"/>
      <c r="V231" s="146"/>
      <c r="W231" s="146"/>
      <c r="X231" s="146"/>
      <c r="Y231" s="146"/>
      <c r="Z231" s="146"/>
      <c r="AA231" s="146"/>
      <c r="AB231" s="146" t="s">
        <v>7</v>
      </c>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146"/>
      <c r="BH231" s="146"/>
      <c r="BI231" s="146"/>
      <c r="BJ231" s="146"/>
      <c r="BK231" s="146"/>
      <c r="BL231" s="146"/>
      <c r="BM231" s="146"/>
      <c r="BN231" s="67"/>
      <c r="BO231" s="67"/>
      <c r="BP231" s="67"/>
      <c r="BQ231" s="67"/>
      <c r="BR231" s="67"/>
      <c r="BS231" s="67"/>
      <c r="BT231" s="67"/>
      <c r="BU231" s="67"/>
      <c r="BV231" s="67"/>
      <c r="BW231" s="67"/>
      <c r="BX231" s="67"/>
      <c r="BY231" s="67"/>
      <c r="BZ231" s="67"/>
      <c r="CA231" s="67"/>
      <c r="CB231" s="67"/>
      <c r="CC231" s="67"/>
      <c r="CD231" s="67"/>
      <c r="CE231" s="67"/>
      <c r="CF231" s="67"/>
      <c r="CG231" s="67"/>
      <c r="CH231" s="67"/>
      <c r="CI231" s="67"/>
      <c r="CJ231" s="67"/>
      <c r="CK231" s="67"/>
      <c r="CL231" s="67"/>
      <c r="CM231" s="67"/>
      <c r="CN231" s="67"/>
      <c r="CO231" s="67"/>
      <c r="CP231" s="67"/>
      <c r="CQ231" s="67"/>
      <c r="CR231" s="67"/>
      <c r="CS231" s="67"/>
      <c r="CT231" s="67"/>
      <c r="CU231" s="67"/>
      <c r="CV231" s="67"/>
      <c r="CW231" s="67"/>
      <c r="CX231" s="67"/>
    </row>
    <row r="232" spans="16:102" s="123" customFormat="1" ht="14.5" x14ac:dyDescent="0.35">
      <c r="P232" s="146"/>
      <c r="Q232" s="146"/>
      <c r="R232" s="146"/>
      <c r="S232" s="146"/>
      <c r="T232" s="146"/>
      <c r="U232" s="146"/>
      <c r="V232" s="146"/>
      <c r="W232" s="146"/>
      <c r="X232" s="146"/>
      <c r="Y232" s="146"/>
      <c r="Z232" s="146"/>
      <c r="AA232" s="146"/>
      <c r="AB232" s="146" t="s">
        <v>194</v>
      </c>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146"/>
      <c r="BH232" s="146"/>
      <c r="BI232" s="146"/>
      <c r="BJ232" s="146"/>
      <c r="BK232" s="146"/>
      <c r="BL232" s="146"/>
      <c r="BM232" s="146"/>
      <c r="BN232" s="67"/>
      <c r="BO232" s="67"/>
      <c r="BP232" s="67"/>
      <c r="BQ232" s="67"/>
      <c r="BR232" s="67"/>
      <c r="BS232" s="67"/>
      <c r="BT232" s="67"/>
      <c r="BU232" s="67"/>
      <c r="BV232" s="67"/>
      <c r="BW232" s="67"/>
      <c r="BX232" s="67"/>
      <c r="BY232" s="67"/>
      <c r="BZ232" s="67"/>
      <c r="CA232" s="67"/>
      <c r="CB232" s="67"/>
      <c r="CC232" s="67"/>
      <c r="CD232" s="67"/>
      <c r="CE232" s="67"/>
      <c r="CF232" s="67"/>
      <c r="CG232" s="67"/>
      <c r="CH232" s="67"/>
      <c r="CI232" s="67"/>
      <c r="CJ232" s="67"/>
      <c r="CK232" s="67"/>
      <c r="CL232" s="67"/>
      <c r="CM232" s="67"/>
      <c r="CN232" s="67"/>
      <c r="CO232" s="67"/>
      <c r="CP232" s="67"/>
      <c r="CQ232" s="67"/>
      <c r="CR232" s="67"/>
      <c r="CS232" s="67"/>
      <c r="CT232" s="67"/>
      <c r="CU232" s="67"/>
      <c r="CV232" s="67"/>
      <c r="CW232" s="67"/>
      <c r="CX232" s="67"/>
    </row>
    <row r="233" spans="16:102" s="123" customFormat="1" ht="14.5" x14ac:dyDescent="0.35">
      <c r="P233" s="146"/>
      <c r="Q233" s="146"/>
      <c r="R233" s="146"/>
      <c r="S233" s="146"/>
      <c r="T233" s="146"/>
      <c r="U233" s="146"/>
      <c r="V233" s="146"/>
      <c r="W233" s="146"/>
      <c r="X233" s="146"/>
      <c r="Y233" s="146"/>
      <c r="Z233" s="146"/>
      <c r="AA233" s="146"/>
      <c r="AB233" s="146" t="s">
        <v>195</v>
      </c>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146"/>
      <c r="BH233" s="146"/>
      <c r="BI233" s="146"/>
      <c r="BJ233" s="146"/>
      <c r="BK233" s="146"/>
      <c r="BL233" s="146"/>
      <c r="BM233" s="146"/>
      <c r="BN233" s="67"/>
      <c r="BO233" s="67"/>
      <c r="BP233" s="67"/>
      <c r="BQ233" s="67"/>
      <c r="BR233" s="67"/>
      <c r="BS233" s="67"/>
      <c r="BT233" s="67"/>
      <c r="BU233" s="67"/>
      <c r="BV233" s="67"/>
      <c r="BW233" s="67"/>
      <c r="BX233" s="67"/>
      <c r="BY233" s="67"/>
      <c r="BZ233" s="67"/>
      <c r="CA233" s="67"/>
      <c r="CB233" s="67"/>
      <c r="CC233" s="67"/>
      <c r="CD233" s="67"/>
      <c r="CE233" s="67"/>
      <c r="CF233" s="67"/>
      <c r="CG233" s="67"/>
      <c r="CH233" s="67"/>
      <c r="CI233" s="67"/>
      <c r="CJ233" s="67"/>
      <c r="CK233" s="67"/>
      <c r="CL233" s="67"/>
      <c r="CM233" s="67"/>
      <c r="CN233" s="67"/>
      <c r="CO233" s="67"/>
      <c r="CP233" s="67"/>
      <c r="CQ233" s="67"/>
      <c r="CR233" s="67"/>
      <c r="CS233" s="67"/>
      <c r="CT233" s="67"/>
      <c r="CU233" s="67"/>
      <c r="CV233" s="67"/>
      <c r="CW233" s="67"/>
      <c r="CX233" s="67"/>
    </row>
    <row r="234" spans="16:102" s="123" customFormat="1" ht="14.5" x14ac:dyDescent="0.35">
      <c r="P234" s="146"/>
      <c r="Q234" s="146"/>
      <c r="R234" s="146"/>
      <c r="S234" s="146"/>
      <c r="T234" s="146"/>
      <c r="U234" s="146"/>
      <c r="V234" s="146"/>
      <c r="W234" s="146"/>
      <c r="X234" s="146"/>
      <c r="Y234" s="146"/>
      <c r="Z234" s="146"/>
      <c r="AA234" s="146"/>
      <c r="AB234" s="146" t="s">
        <v>196</v>
      </c>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146"/>
      <c r="BH234" s="146"/>
      <c r="BI234" s="146"/>
      <c r="BJ234" s="146"/>
      <c r="BK234" s="146"/>
      <c r="BL234" s="146"/>
      <c r="BM234" s="146"/>
      <c r="BN234" s="67"/>
      <c r="BO234" s="67"/>
      <c r="BP234" s="67"/>
      <c r="BQ234" s="67"/>
      <c r="BR234" s="67"/>
      <c r="BS234" s="67"/>
      <c r="BT234" s="67"/>
      <c r="BU234" s="67"/>
      <c r="BV234" s="67"/>
      <c r="BW234" s="67"/>
      <c r="BX234" s="67"/>
      <c r="BY234" s="67"/>
      <c r="BZ234" s="67"/>
      <c r="CA234" s="67"/>
      <c r="CB234" s="67"/>
      <c r="CC234" s="67"/>
      <c r="CD234" s="67"/>
      <c r="CE234" s="67"/>
      <c r="CF234" s="67"/>
      <c r="CG234" s="67"/>
      <c r="CH234" s="67"/>
      <c r="CI234" s="67"/>
      <c r="CJ234" s="67"/>
      <c r="CK234" s="67"/>
      <c r="CL234" s="67"/>
      <c r="CM234" s="67"/>
      <c r="CN234" s="67"/>
      <c r="CO234" s="67"/>
      <c r="CP234" s="67"/>
      <c r="CQ234" s="67"/>
      <c r="CR234" s="67"/>
      <c r="CS234" s="67"/>
      <c r="CT234" s="67"/>
      <c r="CU234" s="67"/>
      <c r="CV234" s="67"/>
      <c r="CW234" s="67"/>
      <c r="CX234" s="67"/>
    </row>
    <row r="235" spans="16:102" s="123" customFormat="1" ht="14.5" x14ac:dyDescent="0.35">
      <c r="P235" s="146"/>
      <c r="Q235" s="146"/>
      <c r="R235" s="146"/>
      <c r="S235" s="146"/>
      <c r="T235" s="146"/>
      <c r="U235" s="146"/>
      <c r="V235" s="146"/>
      <c r="W235" s="146"/>
      <c r="X235" s="146"/>
      <c r="Y235" s="146"/>
      <c r="Z235" s="146"/>
      <c r="AA235" s="146"/>
      <c r="AB235" s="146" t="s">
        <v>197</v>
      </c>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146"/>
      <c r="BH235" s="146"/>
      <c r="BI235" s="146"/>
      <c r="BJ235" s="146"/>
      <c r="BK235" s="146"/>
      <c r="BL235" s="146"/>
      <c r="BM235" s="146"/>
      <c r="BN235" s="67"/>
      <c r="BO235" s="67"/>
      <c r="BP235" s="67"/>
      <c r="BQ235" s="67"/>
      <c r="BR235" s="67"/>
      <c r="BS235" s="67"/>
      <c r="BT235" s="67"/>
      <c r="BU235" s="67"/>
      <c r="BV235" s="67"/>
      <c r="BW235" s="67"/>
      <c r="BX235" s="67"/>
      <c r="BY235" s="67"/>
      <c r="BZ235" s="67"/>
      <c r="CA235" s="67"/>
      <c r="CB235" s="67"/>
      <c r="CC235" s="67"/>
      <c r="CD235" s="67"/>
      <c r="CE235" s="67"/>
      <c r="CF235" s="67"/>
      <c r="CG235" s="67"/>
      <c r="CH235" s="67"/>
      <c r="CI235" s="67"/>
      <c r="CJ235" s="67"/>
      <c r="CK235" s="67"/>
      <c r="CL235" s="67"/>
      <c r="CM235" s="67"/>
      <c r="CN235" s="67"/>
      <c r="CO235" s="67"/>
      <c r="CP235" s="67"/>
      <c r="CQ235" s="67"/>
      <c r="CR235" s="67"/>
      <c r="CS235" s="67"/>
      <c r="CT235" s="67"/>
      <c r="CU235" s="67"/>
      <c r="CV235" s="67"/>
      <c r="CW235" s="67"/>
      <c r="CX235" s="67"/>
    </row>
    <row r="236" spans="16:102" s="123" customFormat="1" ht="14.5" x14ac:dyDescent="0.35">
      <c r="P236" s="146"/>
      <c r="Q236" s="146"/>
      <c r="R236" s="146"/>
      <c r="S236" s="146"/>
      <c r="T236" s="146"/>
      <c r="U236" s="146"/>
      <c r="V236" s="146"/>
      <c r="W236" s="146"/>
      <c r="X236" s="146"/>
      <c r="Y236" s="146"/>
      <c r="Z236" s="146"/>
      <c r="AA236" s="146"/>
      <c r="AB236" s="146" t="s">
        <v>55</v>
      </c>
      <c r="AC236" s="146"/>
      <c r="AD236" s="146"/>
      <c r="AE236" s="146"/>
      <c r="AF236" s="146"/>
      <c r="AG236" s="146"/>
      <c r="AH236" s="146"/>
      <c r="AI236" s="146"/>
      <c r="AJ236" s="146"/>
      <c r="AK236" s="146"/>
      <c r="AL236" s="146"/>
      <c r="AM236" s="146"/>
      <c r="AN236" s="146"/>
      <c r="AO236" s="146"/>
      <c r="AP236" s="146"/>
      <c r="AQ236" s="146"/>
      <c r="AR236" s="146"/>
      <c r="AS236" s="146"/>
      <c r="AT236" s="146"/>
      <c r="AU236" s="146"/>
      <c r="AV236" s="146"/>
      <c r="AW236" s="146"/>
      <c r="AX236" s="146"/>
      <c r="AY236" s="146"/>
      <c r="AZ236" s="146"/>
      <c r="BA236" s="146"/>
      <c r="BB236" s="146"/>
      <c r="BC236" s="146"/>
      <c r="BD236" s="146"/>
      <c r="BE236" s="146"/>
      <c r="BF236" s="146"/>
      <c r="BG236" s="146"/>
      <c r="BH236" s="146"/>
      <c r="BI236" s="146"/>
      <c r="BJ236" s="146"/>
      <c r="BK236" s="146"/>
      <c r="BL236" s="146"/>
      <c r="BM236" s="146"/>
      <c r="BN236" s="67"/>
      <c r="BO236" s="67"/>
      <c r="BP236" s="67"/>
      <c r="BQ236" s="67"/>
      <c r="BR236" s="67"/>
      <c r="BS236" s="67"/>
      <c r="BT236" s="67"/>
      <c r="BU236" s="67"/>
      <c r="BV236" s="67"/>
      <c r="BW236" s="67"/>
      <c r="BX236" s="67"/>
      <c r="BY236" s="67"/>
      <c r="BZ236" s="67"/>
      <c r="CA236" s="67"/>
      <c r="CB236" s="67"/>
      <c r="CC236" s="67"/>
      <c r="CD236" s="67"/>
      <c r="CE236" s="67"/>
      <c r="CF236" s="67"/>
      <c r="CG236" s="67"/>
      <c r="CH236" s="67"/>
      <c r="CI236" s="67"/>
      <c r="CJ236" s="67"/>
      <c r="CK236" s="67"/>
      <c r="CL236" s="67"/>
      <c r="CM236" s="67"/>
      <c r="CN236" s="67"/>
      <c r="CO236" s="67"/>
      <c r="CP236" s="67"/>
      <c r="CQ236" s="67"/>
      <c r="CR236" s="67"/>
      <c r="CS236" s="67"/>
      <c r="CT236" s="67"/>
      <c r="CU236" s="67"/>
      <c r="CV236" s="67"/>
      <c r="CW236" s="67"/>
      <c r="CX236" s="67"/>
    </row>
    <row r="237" spans="16:102" s="123" customFormat="1" ht="14.5" x14ac:dyDescent="0.35">
      <c r="P237" s="146"/>
      <c r="Q237" s="146"/>
      <c r="R237" s="146"/>
      <c r="S237" s="146"/>
      <c r="T237" s="146"/>
      <c r="U237" s="146"/>
      <c r="V237" s="146"/>
      <c r="W237" s="146"/>
      <c r="X237" s="146"/>
      <c r="Y237" s="146"/>
      <c r="Z237" s="146"/>
      <c r="AA237" s="146"/>
      <c r="AB237" s="146" t="s">
        <v>198</v>
      </c>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46"/>
      <c r="AX237" s="146"/>
      <c r="AY237" s="146"/>
      <c r="AZ237" s="146"/>
      <c r="BA237" s="146"/>
      <c r="BB237" s="146"/>
      <c r="BC237" s="146"/>
      <c r="BD237" s="146"/>
      <c r="BE237" s="146"/>
      <c r="BF237" s="146"/>
      <c r="BG237" s="146"/>
      <c r="BH237" s="146"/>
      <c r="BI237" s="146"/>
      <c r="BJ237" s="146"/>
      <c r="BK237" s="146"/>
      <c r="BL237" s="146"/>
      <c r="BM237" s="146"/>
      <c r="BN237" s="67"/>
      <c r="BO237" s="67"/>
      <c r="BP237" s="67"/>
      <c r="BQ237" s="67"/>
      <c r="BR237" s="67"/>
      <c r="BS237" s="67"/>
      <c r="BT237" s="67"/>
      <c r="BU237" s="67"/>
      <c r="BV237" s="67"/>
      <c r="BW237" s="67"/>
      <c r="BX237" s="67"/>
      <c r="BY237" s="67"/>
      <c r="BZ237" s="67"/>
      <c r="CA237" s="67"/>
      <c r="CB237" s="67"/>
      <c r="CC237" s="67"/>
      <c r="CD237" s="67"/>
      <c r="CE237" s="67"/>
      <c r="CF237" s="67"/>
      <c r="CG237" s="67"/>
      <c r="CH237" s="67"/>
      <c r="CI237" s="67"/>
      <c r="CJ237" s="67"/>
      <c r="CK237" s="67"/>
      <c r="CL237" s="67"/>
      <c r="CM237" s="67"/>
      <c r="CN237" s="67"/>
      <c r="CO237" s="67"/>
      <c r="CP237" s="67"/>
      <c r="CQ237" s="67"/>
      <c r="CR237" s="67"/>
      <c r="CS237" s="67"/>
      <c r="CT237" s="67"/>
      <c r="CU237" s="67"/>
      <c r="CV237" s="67"/>
      <c r="CW237" s="67"/>
      <c r="CX237" s="67"/>
    </row>
    <row r="238" spans="16:102" s="123" customFormat="1" ht="14.5" x14ac:dyDescent="0.35">
      <c r="P238" s="146"/>
      <c r="Q238" s="146"/>
      <c r="R238" s="146"/>
      <c r="S238" s="146"/>
      <c r="T238" s="146"/>
      <c r="U238" s="146"/>
      <c r="V238" s="146"/>
      <c r="W238" s="146"/>
      <c r="X238" s="146"/>
      <c r="Y238" s="146"/>
      <c r="Z238" s="146"/>
      <c r="AA238" s="146"/>
      <c r="AB238" s="146" t="s">
        <v>199</v>
      </c>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146"/>
      <c r="BH238" s="146"/>
      <c r="BI238" s="146"/>
      <c r="BJ238" s="146"/>
      <c r="BK238" s="146"/>
      <c r="BL238" s="146"/>
      <c r="BM238" s="146"/>
      <c r="BN238" s="67"/>
      <c r="BO238" s="67"/>
      <c r="BP238" s="67"/>
      <c r="BQ238" s="67"/>
      <c r="BR238" s="67"/>
      <c r="BS238" s="67"/>
      <c r="BT238" s="67"/>
      <c r="BU238" s="67"/>
      <c r="BV238" s="67"/>
      <c r="BW238" s="67"/>
      <c r="BX238" s="67"/>
      <c r="BY238" s="67"/>
      <c r="BZ238" s="67"/>
      <c r="CA238" s="67"/>
      <c r="CB238" s="67"/>
      <c r="CC238" s="67"/>
      <c r="CD238" s="67"/>
      <c r="CE238" s="67"/>
      <c r="CF238" s="67"/>
      <c r="CG238" s="67"/>
      <c r="CH238" s="67"/>
      <c r="CI238" s="67"/>
      <c r="CJ238" s="67"/>
      <c r="CK238" s="67"/>
      <c r="CL238" s="67"/>
      <c r="CM238" s="67"/>
      <c r="CN238" s="67"/>
      <c r="CO238" s="67"/>
      <c r="CP238" s="67"/>
      <c r="CQ238" s="67"/>
      <c r="CR238" s="67"/>
      <c r="CS238" s="67"/>
      <c r="CT238" s="67"/>
      <c r="CU238" s="67"/>
      <c r="CV238" s="67"/>
      <c r="CW238" s="67"/>
      <c r="CX238" s="67"/>
    </row>
    <row r="239" spans="16:102" s="123" customFormat="1" ht="14.5" x14ac:dyDescent="0.35">
      <c r="P239" s="146"/>
      <c r="Q239" s="146"/>
      <c r="R239" s="146"/>
      <c r="S239" s="146"/>
      <c r="T239" s="146"/>
      <c r="U239" s="146"/>
      <c r="V239" s="146"/>
      <c r="W239" s="146"/>
      <c r="X239" s="146"/>
      <c r="Y239" s="146"/>
      <c r="Z239" s="146"/>
      <c r="AA239" s="146"/>
      <c r="AB239" s="146" t="s">
        <v>200</v>
      </c>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67"/>
      <c r="BO239" s="67"/>
      <c r="BP239" s="67"/>
      <c r="BQ239" s="67"/>
      <c r="BR239" s="67"/>
      <c r="BS239" s="67"/>
      <c r="BT239" s="67"/>
      <c r="BU239" s="67"/>
      <c r="BV239" s="67"/>
      <c r="BW239" s="67"/>
      <c r="BX239" s="67"/>
      <c r="BY239" s="67"/>
      <c r="BZ239" s="67"/>
      <c r="CA239" s="67"/>
      <c r="CB239" s="67"/>
      <c r="CC239" s="67"/>
      <c r="CD239" s="67"/>
      <c r="CE239" s="67"/>
      <c r="CF239" s="67"/>
      <c r="CG239" s="67"/>
      <c r="CH239" s="67"/>
      <c r="CI239" s="67"/>
      <c r="CJ239" s="67"/>
      <c r="CK239" s="67"/>
      <c r="CL239" s="67"/>
      <c r="CM239" s="67"/>
      <c r="CN239" s="67"/>
      <c r="CO239" s="67"/>
      <c r="CP239" s="67"/>
      <c r="CQ239" s="67"/>
      <c r="CR239" s="67"/>
      <c r="CS239" s="67"/>
      <c r="CT239" s="67"/>
      <c r="CU239" s="67"/>
      <c r="CV239" s="67"/>
      <c r="CW239" s="67"/>
      <c r="CX239" s="67"/>
    </row>
    <row r="240" spans="16:102" s="123" customFormat="1" ht="14.5" x14ac:dyDescent="0.35">
      <c r="P240" s="146"/>
      <c r="Q240" s="146"/>
      <c r="R240" s="146"/>
      <c r="S240" s="146"/>
      <c r="T240" s="146"/>
      <c r="U240" s="146"/>
      <c r="V240" s="146"/>
      <c r="W240" s="146"/>
      <c r="X240" s="146"/>
      <c r="Y240" s="146"/>
      <c r="Z240" s="146"/>
      <c r="AA240" s="146"/>
      <c r="AB240" s="146" t="s">
        <v>201</v>
      </c>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c r="BJ240" s="146"/>
      <c r="BK240" s="146"/>
      <c r="BL240" s="146"/>
      <c r="BM240" s="146"/>
      <c r="BN240" s="67"/>
      <c r="BO240" s="67"/>
      <c r="BP240" s="67"/>
      <c r="BQ240" s="67"/>
      <c r="BR240" s="67"/>
      <c r="BS240" s="67"/>
      <c r="BT240" s="67"/>
      <c r="BU240" s="67"/>
      <c r="BV240" s="67"/>
      <c r="BW240" s="67"/>
      <c r="BX240" s="67"/>
      <c r="BY240" s="67"/>
      <c r="BZ240" s="67"/>
      <c r="CA240" s="67"/>
      <c r="CB240" s="67"/>
      <c r="CC240" s="67"/>
      <c r="CD240" s="67"/>
      <c r="CE240" s="67"/>
      <c r="CF240" s="67"/>
      <c r="CG240" s="67"/>
      <c r="CH240" s="67"/>
      <c r="CI240" s="67"/>
      <c r="CJ240" s="67"/>
      <c r="CK240" s="67"/>
      <c r="CL240" s="67"/>
      <c r="CM240" s="67"/>
      <c r="CN240" s="67"/>
      <c r="CO240" s="67"/>
      <c r="CP240" s="67"/>
      <c r="CQ240" s="67"/>
      <c r="CR240" s="67"/>
      <c r="CS240" s="67"/>
      <c r="CT240" s="67"/>
      <c r="CU240" s="67"/>
      <c r="CV240" s="67"/>
      <c r="CW240" s="67"/>
      <c r="CX240" s="67"/>
    </row>
    <row r="241" spans="16:102" s="123" customFormat="1" ht="14.5" x14ac:dyDescent="0.35">
      <c r="P241" s="146"/>
      <c r="Q241" s="146"/>
      <c r="R241" s="146"/>
      <c r="S241" s="146"/>
      <c r="T241" s="146"/>
      <c r="U241" s="146"/>
      <c r="V241" s="146"/>
      <c r="W241" s="146"/>
      <c r="X241" s="146"/>
      <c r="Y241" s="146"/>
      <c r="Z241" s="146"/>
      <c r="AA241" s="146"/>
      <c r="AB241" s="146" t="s">
        <v>202</v>
      </c>
      <c r="AC241" s="146"/>
      <c r="AD241" s="146"/>
      <c r="AE241" s="146"/>
      <c r="AF241" s="146"/>
      <c r="AG241" s="146"/>
      <c r="AH241" s="146"/>
      <c r="AI241" s="146"/>
      <c r="AJ241" s="146"/>
      <c r="AK241" s="146"/>
      <c r="AL241" s="146"/>
      <c r="AM241" s="146"/>
      <c r="AN241" s="146"/>
      <c r="AO241" s="146"/>
      <c r="AP241" s="146"/>
      <c r="AQ241" s="146"/>
      <c r="AR241" s="146"/>
      <c r="AS241" s="146"/>
      <c r="AT241" s="146"/>
      <c r="AU241" s="146"/>
      <c r="AV241" s="146"/>
      <c r="AW241" s="146"/>
      <c r="AX241" s="146"/>
      <c r="AY241" s="146"/>
      <c r="AZ241" s="146"/>
      <c r="BA241" s="146"/>
      <c r="BB241" s="146"/>
      <c r="BC241" s="146"/>
      <c r="BD241" s="146"/>
      <c r="BE241" s="146"/>
      <c r="BF241" s="146"/>
      <c r="BG241" s="146"/>
      <c r="BH241" s="146"/>
      <c r="BI241" s="146"/>
      <c r="BJ241" s="146"/>
      <c r="BK241" s="146"/>
      <c r="BL241" s="146"/>
      <c r="BM241" s="146"/>
      <c r="BN241" s="67"/>
      <c r="BO241" s="67"/>
      <c r="BP241" s="67"/>
      <c r="BQ241" s="67"/>
      <c r="BR241" s="67"/>
      <c r="BS241" s="67"/>
      <c r="BT241" s="67"/>
      <c r="BU241" s="67"/>
      <c r="BV241" s="67"/>
      <c r="BW241" s="67"/>
      <c r="BX241" s="67"/>
      <c r="BY241" s="67"/>
      <c r="BZ241" s="67"/>
      <c r="CA241" s="67"/>
      <c r="CB241" s="67"/>
      <c r="CC241" s="67"/>
      <c r="CD241" s="67"/>
      <c r="CE241" s="67"/>
      <c r="CF241" s="67"/>
      <c r="CG241" s="67"/>
      <c r="CH241" s="67"/>
      <c r="CI241" s="67"/>
      <c r="CJ241" s="67"/>
      <c r="CK241" s="67"/>
      <c r="CL241" s="67"/>
      <c r="CM241" s="67"/>
      <c r="CN241" s="67"/>
      <c r="CO241" s="67"/>
      <c r="CP241" s="67"/>
      <c r="CQ241" s="67"/>
      <c r="CR241" s="67"/>
      <c r="CS241" s="67"/>
      <c r="CT241" s="67"/>
      <c r="CU241" s="67"/>
      <c r="CV241" s="67"/>
      <c r="CW241" s="67"/>
      <c r="CX241" s="67"/>
    </row>
    <row r="242" spans="16:102" s="123" customFormat="1" ht="14.5" x14ac:dyDescent="0.35">
      <c r="P242" s="146"/>
      <c r="Q242" s="146"/>
      <c r="R242" s="146"/>
      <c r="S242" s="146"/>
      <c r="T242" s="146"/>
      <c r="U242" s="146"/>
      <c r="V242" s="146"/>
      <c r="W242" s="146"/>
      <c r="X242" s="146"/>
      <c r="Y242" s="146"/>
      <c r="Z242" s="146"/>
      <c r="AA242" s="146"/>
      <c r="AB242" s="146" t="s">
        <v>203</v>
      </c>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c r="BJ242" s="146"/>
      <c r="BK242" s="146"/>
      <c r="BL242" s="146"/>
      <c r="BM242" s="146"/>
      <c r="BN242" s="67"/>
      <c r="BO242" s="67"/>
      <c r="BP242" s="67"/>
      <c r="BQ242" s="67"/>
      <c r="BR242" s="67"/>
      <c r="BS242" s="67"/>
      <c r="BT242" s="67"/>
      <c r="BU242" s="67"/>
      <c r="BV242" s="67"/>
      <c r="BW242" s="67"/>
      <c r="BX242" s="67"/>
      <c r="BY242" s="67"/>
      <c r="BZ242" s="67"/>
      <c r="CA242" s="67"/>
      <c r="CB242" s="67"/>
      <c r="CC242" s="67"/>
      <c r="CD242" s="67"/>
      <c r="CE242" s="67"/>
      <c r="CF242" s="67"/>
      <c r="CG242" s="67"/>
      <c r="CH242" s="67"/>
      <c r="CI242" s="67"/>
      <c r="CJ242" s="67"/>
      <c r="CK242" s="67"/>
      <c r="CL242" s="67"/>
      <c r="CM242" s="67"/>
      <c r="CN242" s="67"/>
      <c r="CO242" s="67"/>
      <c r="CP242" s="67"/>
      <c r="CQ242" s="67"/>
      <c r="CR242" s="67"/>
      <c r="CS242" s="67"/>
      <c r="CT242" s="67"/>
      <c r="CU242" s="67"/>
      <c r="CV242" s="67"/>
      <c r="CW242" s="67"/>
      <c r="CX242" s="67"/>
    </row>
    <row r="243" spans="16:102" s="123" customFormat="1" ht="14.5" x14ac:dyDescent="0.35">
      <c r="P243" s="146"/>
      <c r="Q243" s="146"/>
      <c r="R243" s="146"/>
      <c r="S243" s="146"/>
      <c r="T243" s="146"/>
      <c r="U243" s="146"/>
      <c r="V243" s="146"/>
      <c r="W243" s="146"/>
      <c r="X243" s="146"/>
      <c r="Y243" s="146"/>
      <c r="Z243" s="146"/>
      <c r="AA243" s="146"/>
      <c r="AB243" s="146" t="s">
        <v>204</v>
      </c>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c r="BJ243" s="146"/>
      <c r="BK243" s="146"/>
      <c r="BL243" s="146"/>
      <c r="BM243" s="146"/>
      <c r="BN243" s="67"/>
      <c r="BO243" s="67"/>
      <c r="BP243" s="67"/>
      <c r="BQ243" s="67"/>
      <c r="BR243" s="67"/>
      <c r="BS243" s="67"/>
      <c r="BT243" s="67"/>
      <c r="BU243" s="67"/>
      <c r="BV243" s="67"/>
      <c r="BW243" s="67"/>
      <c r="BX243" s="67"/>
      <c r="BY243" s="67"/>
      <c r="BZ243" s="67"/>
      <c r="CA243" s="67"/>
      <c r="CB243" s="67"/>
      <c r="CC243" s="67"/>
      <c r="CD243" s="67"/>
      <c r="CE243" s="67"/>
      <c r="CF243" s="67"/>
      <c r="CG243" s="67"/>
      <c r="CH243" s="67"/>
      <c r="CI243" s="67"/>
      <c r="CJ243" s="67"/>
      <c r="CK243" s="67"/>
      <c r="CL243" s="67"/>
      <c r="CM243" s="67"/>
      <c r="CN243" s="67"/>
      <c r="CO243" s="67"/>
      <c r="CP243" s="67"/>
      <c r="CQ243" s="67"/>
      <c r="CR243" s="67"/>
      <c r="CS243" s="67"/>
      <c r="CT243" s="67"/>
      <c r="CU243" s="67"/>
      <c r="CV243" s="67"/>
      <c r="CW243" s="67"/>
      <c r="CX243" s="67"/>
    </row>
    <row r="244" spans="16:102" s="123" customFormat="1" ht="14.5" x14ac:dyDescent="0.35">
      <c r="P244" s="146"/>
      <c r="Q244" s="146"/>
      <c r="R244" s="146"/>
      <c r="S244" s="146"/>
      <c r="T244" s="146"/>
      <c r="U244" s="146"/>
      <c r="V244" s="146"/>
      <c r="W244" s="146"/>
      <c r="X244" s="146"/>
      <c r="Y244" s="146"/>
      <c r="Z244" s="146"/>
      <c r="AA244" s="146"/>
      <c r="AB244" s="146" t="s">
        <v>205</v>
      </c>
      <c r="AC244" s="146"/>
      <c r="AD244" s="146"/>
      <c r="AE244" s="146"/>
      <c r="AF244" s="146"/>
      <c r="AG244" s="146"/>
      <c r="AH244" s="146"/>
      <c r="AI244" s="146"/>
      <c r="AJ244" s="146"/>
      <c r="AK244" s="146"/>
      <c r="AL244" s="146"/>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c r="BG244" s="146"/>
      <c r="BH244" s="146"/>
      <c r="BI244" s="146"/>
      <c r="BJ244" s="146"/>
      <c r="BK244" s="146"/>
      <c r="BL244" s="146"/>
      <c r="BM244" s="146"/>
      <c r="BN244" s="67"/>
      <c r="BO244" s="67"/>
      <c r="BP244" s="67"/>
      <c r="BQ244" s="67"/>
      <c r="BR244" s="67"/>
      <c r="BS244" s="67"/>
      <c r="BT244" s="67"/>
      <c r="BU244" s="67"/>
      <c r="BV244" s="67"/>
      <c r="BW244" s="67"/>
      <c r="BX244" s="67"/>
      <c r="BY244" s="67"/>
      <c r="BZ244" s="67"/>
      <c r="CA244" s="67"/>
      <c r="CB244" s="67"/>
      <c r="CC244" s="67"/>
      <c r="CD244" s="67"/>
      <c r="CE244" s="67"/>
      <c r="CF244" s="67"/>
      <c r="CG244" s="67"/>
      <c r="CH244" s="67"/>
      <c r="CI244" s="67"/>
      <c r="CJ244" s="67"/>
      <c r="CK244" s="67"/>
      <c r="CL244" s="67"/>
      <c r="CM244" s="67"/>
      <c r="CN244" s="67"/>
      <c r="CO244" s="67"/>
      <c r="CP244" s="67"/>
      <c r="CQ244" s="67"/>
      <c r="CR244" s="67"/>
      <c r="CS244" s="67"/>
      <c r="CT244" s="67"/>
      <c r="CU244" s="67"/>
      <c r="CV244" s="67"/>
      <c r="CW244" s="67"/>
      <c r="CX244" s="67"/>
    </row>
    <row r="245" spans="16:102" s="123" customFormat="1" ht="14.5" x14ac:dyDescent="0.35">
      <c r="P245" s="146"/>
      <c r="Q245" s="146"/>
      <c r="R245" s="146"/>
      <c r="S245" s="146"/>
      <c r="T245" s="146"/>
      <c r="U245" s="146"/>
      <c r="V245" s="146"/>
      <c r="W245" s="146"/>
      <c r="X245" s="146"/>
      <c r="Y245" s="146"/>
      <c r="Z245" s="146"/>
      <c r="AA245" s="146"/>
      <c r="AB245" s="146" t="s">
        <v>206</v>
      </c>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6"/>
      <c r="BI245" s="146"/>
      <c r="BJ245" s="146"/>
      <c r="BK245" s="146"/>
      <c r="BL245" s="146"/>
      <c r="BM245" s="146"/>
      <c r="BN245" s="67"/>
      <c r="BO245" s="67"/>
      <c r="BP245" s="67"/>
      <c r="BQ245" s="67"/>
      <c r="BR245" s="67"/>
      <c r="BS245" s="67"/>
      <c r="BT245" s="67"/>
      <c r="BU245" s="67"/>
      <c r="BV245" s="67"/>
      <c r="BW245" s="67"/>
      <c r="BX245" s="67"/>
      <c r="BY245" s="67"/>
      <c r="BZ245" s="67"/>
      <c r="CA245" s="67"/>
      <c r="CB245" s="67"/>
      <c r="CC245" s="67"/>
      <c r="CD245" s="67"/>
      <c r="CE245" s="67"/>
      <c r="CF245" s="67"/>
      <c r="CG245" s="67"/>
      <c r="CH245" s="67"/>
      <c r="CI245" s="67"/>
      <c r="CJ245" s="67"/>
      <c r="CK245" s="67"/>
      <c r="CL245" s="67"/>
      <c r="CM245" s="67"/>
      <c r="CN245" s="67"/>
      <c r="CO245" s="67"/>
      <c r="CP245" s="67"/>
      <c r="CQ245" s="67"/>
      <c r="CR245" s="67"/>
      <c r="CS245" s="67"/>
      <c r="CT245" s="67"/>
      <c r="CU245" s="67"/>
      <c r="CV245" s="67"/>
      <c r="CW245" s="67"/>
      <c r="CX245" s="67"/>
    </row>
    <row r="246" spans="16:102" s="123" customFormat="1" ht="14.5" x14ac:dyDescent="0.35">
      <c r="P246" s="146"/>
      <c r="Q246" s="146"/>
      <c r="R246" s="146"/>
      <c r="S246" s="146"/>
      <c r="T246" s="146"/>
      <c r="U246" s="146"/>
      <c r="V246" s="146"/>
      <c r="W246" s="146"/>
      <c r="X246" s="146"/>
      <c r="Y246" s="146"/>
      <c r="Z246" s="146"/>
      <c r="AA246" s="146"/>
      <c r="AB246" s="146" t="s">
        <v>207</v>
      </c>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c r="BJ246" s="146"/>
      <c r="BK246" s="146"/>
      <c r="BL246" s="146"/>
      <c r="BM246" s="146"/>
      <c r="BN246" s="67"/>
      <c r="BO246" s="67"/>
      <c r="BP246" s="67"/>
      <c r="BQ246" s="67"/>
      <c r="BR246" s="67"/>
      <c r="BS246" s="67"/>
      <c r="BT246" s="67"/>
      <c r="BU246" s="67"/>
      <c r="BV246" s="67"/>
      <c r="BW246" s="67"/>
      <c r="BX246" s="67"/>
      <c r="BY246" s="67"/>
      <c r="BZ246" s="67"/>
      <c r="CA246" s="67"/>
      <c r="CB246" s="67"/>
      <c r="CC246" s="67"/>
      <c r="CD246" s="67"/>
      <c r="CE246" s="67"/>
      <c r="CF246" s="67"/>
      <c r="CG246" s="67"/>
      <c r="CH246" s="67"/>
      <c r="CI246" s="67"/>
      <c r="CJ246" s="67"/>
      <c r="CK246" s="67"/>
      <c r="CL246" s="67"/>
      <c r="CM246" s="67"/>
      <c r="CN246" s="67"/>
      <c r="CO246" s="67"/>
      <c r="CP246" s="67"/>
      <c r="CQ246" s="67"/>
      <c r="CR246" s="67"/>
      <c r="CS246" s="67"/>
      <c r="CT246" s="67"/>
      <c r="CU246" s="67"/>
      <c r="CV246" s="67"/>
      <c r="CW246" s="67"/>
      <c r="CX246" s="67"/>
    </row>
    <row r="247" spans="16:102" s="123" customFormat="1" ht="14.5" x14ac:dyDescent="0.35">
      <c r="P247" s="146"/>
      <c r="Q247" s="146"/>
      <c r="R247" s="146"/>
      <c r="S247" s="146"/>
      <c r="T247" s="146"/>
      <c r="U247" s="146"/>
      <c r="V247" s="146"/>
      <c r="W247" s="146"/>
      <c r="X247" s="146"/>
      <c r="Y247" s="146"/>
      <c r="Z247" s="146"/>
      <c r="AA247" s="146"/>
      <c r="AB247" s="146" t="s">
        <v>208</v>
      </c>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c r="BJ247" s="146"/>
      <c r="BK247" s="146"/>
      <c r="BL247" s="146"/>
      <c r="BM247" s="146"/>
      <c r="BN247" s="67"/>
      <c r="BO247" s="67"/>
      <c r="BP247" s="67"/>
      <c r="BQ247" s="67"/>
      <c r="BR247" s="67"/>
      <c r="BS247" s="67"/>
      <c r="BT247" s="67"/>
      <c r="BU247" s="67"/>
      <c r="BV247" s="67"/>
      <c r="BW247" s="67"/>
      <c r="BX247" s="67"/>
      <c r="BY247" s="67"/>
      <c r="BZ247" s="67"/>
      <c r="CA247" s="67"/>
      <c r="CB247" s="67"/>
      <c r="CC247" s="67"/>
      <c r="CD247" s="67"/>
      <c r="CE247" s="67"/>
      <c r="CF247" s="67"/>
      <c r="CG247" s="67"/>
      <c r="CH247" s="67"/>
      <c r="CI247" s="67"/>
      <c r="CJ247" s="67"/>
      <c r="CK247" s="67"/>
      <c r="CL247" s="67"/>
      <c r="CM247" s="67"/>
      <c r="CN247" s="67"/>
      <c r="CO247" s="67"/>
      <c r="CP247" s="67"/>
      <c r="CQ247" s="67"/>
      <c r="CR247" s="67"/>
      <c r="CS247" s="67"/>
      <c r="CT247" s="67"/>
      <c r="CU247" s="67"/>
      <c r="CV247" s="67"/>
      <c r="CW247" s="67"/>
      <c r="CX247" s="67"/>
    </row>
    <row r="248" spans="16:102" s="123" customFormat="1" ht="14.5" x14ac:dyDescent="0.35">
      <c r="P248" s="146"/>
      <c r="Q248" s="146"/>
      <c r="R248" s="146"/>
      <c r="S248" s="146"/>
      <c r="T248" s="146"/>
      <c r="U248" s="146"/>
      <c r="V248" s="146"/>
      <c r="W248" s="146"/>
      <c r="X248" s="146"/>
      <c r="Y248" s="146"/>
      <c r="Z248" s="146"/>
      <c r="AA248" s="146"/>
      <c r="AB248" s="146" t="s">
        <v>209</v>
      </c>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c r="BG248" s="146"/>
      <c r="BH248" s="146"/>
      <c r="BI248" s="146"/>
      <c r="BJ248" s="146"/>
      <c r="BK248" s="146"/>
      <c r="BL248" s="146"/>
      <c r="BM248" s="146"/>
      <c r="BN248" s="67"/>
      <c r="BO248" s="67"/>
      <c r="BP248" s="67"/>
      <c r="BQ248" s="67"/>
      <c r="BR248" s="67"/>
      <c r="BS248" s="67"/>
      <c r="BT248" s="67"/>
      <c r="BU248" s="67"/>
      <c r="BV248" s="67"/>
      <c r="BW248" s="67"/>
      <c r="BX248" s="67"/>
      <c r="BY248" s="67"/>
      <c r="BZ248" s="67"/>
      <c r="CA248" s="67"/>
      <c r="CB248" s="67"/>
      <c r="CC248" s="67"/>
      <c r="CD248" s="67"/>
      <c r="CE248" s="67"/>
      <c r="CF248" s="67"/>
      <c r="CG248" s="67"/>
      <c r="CH248" s="67"/>
      <c r="CI248" s="67"/>
      <c r="CJ248" s="67"/>
      <c r="CK248" s="67"/>
      <c r="CL248" s="67"/>
      <c r="CM248" s="67"/>
      <c r="CN248" s="67"/>
      <c r="CO248" s="67"/>
      <c r="CP248" s="67"/>
      <c r="CQ248" s="67"/>
      <c r="CR248" s="67"/>
      <c r="CS248" s="67"/>
      <c r="CT248" s="67"/>
      <c r="CU248" s="67"/>
      <c r="CV248" s="67"/>
      <c r="CW248" s="67"/>
      <c r="CX248" s="67"/>
    </row>
    <row r="249" spans="16:102" s="123" customFormat="1" ht="14.5" x14ac:dyDescent="0.35">
      <c r="P249" s="146"/>
      <c r="Q249" s="146"/>
      <c r="R249" s="146"/>
      <c r="S249" s="146"/>
      <c r="T249" s="146"/>
      <c r="U249" s="146"/>
      <c r="V249" s="146"/>
      <c r="W249" s="146"/>
      <c r="X249" s="146"/>
      <c r="Y249" s="146"/>
      <c r="Z249" s="146"/>
      <c r="AA249" s="146"/>
      <c r="AB249" s="146" t="s">
        <v>210</v>
      </c>
      <c r="AC249" s="146"/>
      <c r="AD249" s="146"/>
      <c r="AE249" s="146"/>
      <c r="AF249" s="146"/>
      <c r="AG249" s="146"/>
      <c r="AH249" s="146"/>
      <c r="AI249" s="146"/>
      <c r="AJ249" s="146"/>
      <c r="AK249" s="146"/>
      <c r="AL249" s="146"/>
      <c r="AM249" s="146"/>
      <c r="AN249" s="146"/>
      <c r="AO249" s="146"/>
      <c r="AP249" s="146"/>
      <c r="AQ249" s="146"/>
      <c r="AR249" s="146"/>
      <c r="AS249" s="146"/>
      <c r="AT249" s="146"/>
      <c r="AU249" s="146"/>
      <c r="AV249" s="146"/>
      <c r="AW249" s="146"/>
      <c r="AX249" s="146"/>
      <c r="AY249" s="146"/>
      <c r="AZ249" s="146"/>
      <c r="BA249" s="146"/>
      <c r="BB249" s="146"/>
      <c r="BC249" s="146"/>
      <c r="BD249" s="146"/>
      <c r="BE249" s="146"/>
      <c r="BF249" s="146"/>
      <c r="BG249" s="146"/>
      <c r="BH249" s="146"/>
      <c r="BI249" s="146"/>
      <c r="BJ249" s="146"/>
      <c r="BK249" s="146"/>
      <c r="BL249" s="146"/>
      <c r="BM249" s="146"/>
      <c r="BN249" s="67"/>
      <c r="BO249" s="67"/>
      <c r="BP249" s="67"/>
      <c r="BQ249" s="67"/>
      <c r="BR249" s="67"/>
      <c r="BS249" s="67"/>
      <c r="BT249" s="67"/>
      <c r="BU249" s="67"/>
      <c r="BV249" s="67"/>
      <c r="BW249" s="67"/>
      <c r="BX249" s="67"/>
      <c r="BY249" s="67"/>
      <c r="BZ249" s="67"/>
      <c r="CA249" s="67"/>
      <c r="CB249" s="67"/>
      <c r="CC249" s="67"/>
      <c r="CD249" s="67"/>
      <c r="CE249" s="67"/>
      <c r="CF249" s="67"/>
      <c r="CG249" s="67"/>
      <c r="CH249" s="67"/>
      <c r="CI249" s="67"/>
      <c r="CJ249" s="67"/>
      <c r="CK249" s="67"/>
      <c r="CL249" s="67"/>
      <c r="CM249" s="67"/>
      <c r="CN249" s="67"/>
      <c r="CO249" s="67"/>
      <c r="CP249" s="67"/>
      <c r="CQ249" s="67"/>
      <c r="CR249" s="67"/>
      <c r="CS249" s="67"/>
      <c r="CT249" s="67"/>
      <c r="CU249" s="67"/>
      <c r="CV249" s="67"/>
      <c r="CW249" s="67"/>
      <c r="CX249" s="67"/>
    </row>
    <row r="250" spans="16:102" s="123" customFormat="1" ht="14.5" x14ac:dyDescent="0.35">
      <c r="P250" s="146"/>
      <c r="Q250" s="146"/>
      <c r="R250" s="146"/>
      <c r="S250" s="146"/>
      <c r="T250" s="146"/>
      <c r="U250" s="146"/>
      <c r="V250" s="146"/>
      <c r="W250" s="146"/>
      <c r="X250" s="146"/>
      <c r="Y250" s="146"/>
      <c r="Z250" s="146"/>
      <c r="AA250" s="146"/>
      <c r="AB250" s="146" t="s">
        <v>211</v>
      </c>
      <c r="AC250" s="146"/>
      <c r="AD250" s="146"/>
      <c r="AE250" s="146"/>
      <c r="AF250" s="146"/>
      <c r="AG250" s="146"/>
      <c r="AH250" s="146"/>
      <c r="AI250" s="146"/>
      <c r="AJ250" s="146"/>
      <c r="AK250" s="146"/>
      <c r="AL250" s="146"/>
      <c r="AM250" s="146"/>
      <c r="AN250" s="146"/>
      <c r="AO250" s="146"/>
      <c r="AP250" s="146"/>
      <c r="AQ250" s="146"/>
      <c r="AR250" s="146"/>
      <c r="AS250" s="146"/>
      <c r="AT250" s="146"/>
      <c r="AU250" s="146"/>
      <c r="AV250" s="146"/>
      <c r="AW250" s="146"/>
      <c r="AX250" s="146"/>
      <c r="AY250" s="146"/>
      <c r="AZ250" s="146"/>
      <c r="BA250" s="146"/>
      <c r="BB250" s="146"/>
      <c r="BC250" s="146"/>
      <c r="BD250" s="146"/>
      <c r="BE250" s="146"/>
      <c r="BF250" s="146"/>
      <c r="BG250" s="146"/>
      <c r="BH250" s="146"/>
      <c r="BI250" s="146"/>
      <c r="BJ250" s="146"/>
      <c r="BK250" s="146"/>
      <c r="BL250" s="146"/>
      <c r="BM250" s="146"/>
      <c r="BN250" s="67"/>
      <c r="BO250" s="67"/>
      <c r="BP250" s="67"/>
      <c r="BQ250" s="67"/>
      <c r="BR250" s="67"/>
      <c r="BS250" s="67"/>
      <c r="BT250" s="67"/>
      <c r="BU250" s="67"/>
      <c r="BV250" s="67"/>
      <c r="BW250" s="67"/>
      <c r="BX250" s="67"/>
      <c r="BY250" s="67"/>
      <c r="BZ250" s="67"/>
      <c r="CA250" s="67"/>
      <c r="CB250" s="67"/>
      <c r="CC250" s="67"/>
      <c r="CD250" s="67"/>
      <c r="CE250" s="67"/>
      <c r="CF250" s="67"/>
      <c r="CG250" s="67"/>
      <c r="CH250" s="67"/>
      <c r="CI250" s="67"/>
      <c r="CJ250" s="67"/>
      <c r="CK250" s="67"/>
      <c r="CL250" s="67"/>
      <c r="CM250" s="67"/>
      <c r="CN250" s="67"/>
      <c r="CO250" s="67"/>
      <c r="CP250" s="67"/>
      <c r="CQ250" s="67"/>
      <c r="CR250" s="67"/>
      <c r="CS250" s="67"/>
      <c r="CT250" s="67"/>
      <c r="CU250" s="67"/>
      <c r="CV250" s="67"/>
      <c r="CW250" s="67"/>
      <c r="CX250" s="67"/>
    </row>
    <row r="251" spans="16:102" s="123" customFormat="1" ht="14.5" x14ac:dyDescent="0.35">
      <c r="P251" s="146"/>
      <c r="Q251" s="146"/>
      <c r="R251" s="146"/>
      <c r="S251" s="146"/>
      <c r="T251" s="146"/>
      <c r="U251" s="146"/>
      <c r="V251" s="146"/>
      <c r="W251" s="146"/>
      <c r="X251" s="146"/>
      <c r="Y251" s="146"/>
      <c r="Z251" s="146"/>
      <c r="AA251" s="146"/>
      <c r="AB251" s="146" t="s">
        <v>212</v>
      </c>
      <c r="AC251" s="146"/>
      <c r="AD251" s="146"/>
      <c r="AE251" s="146"/>
      <c r="AF251" s="146"/>
      <c r="AG251" s="146"/>
      <c r="AH251" s="146"/>
      <c r="AI251" s="146"/>
      <c r="AJ251" s="146"/>
      <c r="AK251" s="146"/>
      <c r="AL251" s="146"/>
      <c r="AM251" s="146"/>
      <c r="AN251" s="146"/>
      <c r="AO251" s="146"/>
      <c r="AP251" s="146"/>
      <c r="AQ251" s="146"/>
      <c r="AR251" s="146"/>
      <c r="AS251" s="146"/>
      <c r="AT251" s="146"/>
      <c r="AU251" s="146"/>
      <c r="AV251" s="146"/>
      <c r="AW251" s="146"/>
      <c r="AX251" s="146"/>
      <c r="AY251" s="146"/>
      <c r="AZ251" s="146"/>
      <c r="BA251" s="146"/>
      <c r="BB251" s="146"/>
      <c r="BC251" s="146"/>
      <c r="BD251" s="146"/>
      <c r="BE251" s="146"/>
      <c r="BF251" s="146"/>
      <c r="BG251" s="146"/>
      <c r="BH251" s="146"/>
      <c r="BI251" s="146"/>
      <c r="BJ251" s="146"/>
      <c r="BK251" s="146"/>
      <c r="BL251" s="146"/>
      <c r="BM251" s="146"/>
      <c r="BN251" s="67"/>
      <c r="BO251" s="67"/>
      <c r="BP251" s="67"/>
      <c r="BQ251" s="67"/>
      <c r="BR251" s="67"/>
      <c r="BS251" s="67"/>
      <c r="BT251" s="67"/>
      <c r="BU251" s="67"/>
      <c r="BV251" s="67"/>
      <c r="BW251" s="67"/>
      <c r="BX251" s="67"/>
      <c r="BY251" s="67"/>
      <c r="BZ251" s="67"/>
      <c r="CA251" s="67"/>
      <c r="CB251" s="67"/>
      <c r="CC251" s="67"/>
      <c r="CD251" s="67"/>
      <c r="CE251" s="67"/>
      <c r="CF251" s="67"/>
      <c r="CG251" s="67"/>
      <c r="CH251" s="67"/>
      <c r="CI251" s="67"/>
      <c r="CJ251" s="67"/>
      <c r="CK251" s="67"/>
      <c r="CL251" s="67"/>
      <c r="CM251" s="67"/>
      <c r="CN251" s="67"/>
      <c r="CO251" s="67"/>
      <c r="CP251" s="67"/>
      <c r="CQ251" s="67"/>
      <c r="CR251" s="67"/>
      <c r="CS251" s="67"/>
      <c r="CT251" s="67"/>
      <c r="CU251" s="67"/>
      <c r="CV251" s="67"/>
      <c r="CW251" s="67"/>
      <c r="CX251" s="67"/>
    </row>
    <row r="252" spans="16:102" s="123" customFormat="1" ht="14.5" x14ac:dyDescent="0.35">
      <c r="P252" s="146"/>
      <c r="Q252" s="146"/>
      <c r="R252" s="146"/>
      <c r="S252" s="146"/>
      <c r="T252" s="146"/>
      <c r="U252" s="146"/>
      <c r="V252" s="146"/>
      <c r="W252" s="146"/>
      <c r="X252" s="146"/>
      <c r="Y252" s="146"/>
      <c r="Z252" s="146"/>
      <c r="AA252" s="146"/>
      <c r="AB252" s="146" t="s">
        <v>213</v>
      </c>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6"/>
      <c r="BI252" s="146"/>
      <c r="BJ252" s="146"/>
      <c r="BK252" s="146"/>
      <c r="BL252" s="146"/>
      <c r="BM252" s="146"/>
      <c r="BN252" s="67"/>
      <c r="BO252" s="67"/>
      <c r="BP252" s="67"/>
      <c r="BQ252" s="67"/>
      <c r="BR252" s="67"/>
      <c r="BS252" s="67"/>
      <c r="BT252" s="67"/>
      <c r="BU252" s="67"/>
      <c r="BV252" s="67"/>
      <c r="BW252" s="67"/>
      <c r="BX252" s="67"/>
      <c r="BY252" s="67"/>
      <c r="BZ252" s="67"/>
      <c r="CA252" s="67"/>
      <c r="CB252" s="67"/>
      <c r="CC252" s="67"/>
      <c r="CD252" s="67"/>
      <c r="CE252" s="67"/>
      <c r="CF252" s="67"/>
      <c r="CG252" s="67"/>
      <c r="CH252" s="67"/>
      <c r="CI252" s="67"/>
      <c r="CJ252" s="67"/>
      <c r="CK252" s="67"/>
      <c r="CL252" s="67"/>
      <c r="CM252" s="67"/>
      <c r="CN252" s="67"/>
      <c r="CO252" s="67"/>
      <c r="CP252" s="67"/>
      <c r="CQ252" s="67"/>
      <c r="CR252" s="67"/>
      <c r="CS252" s="67"/>
      <c r="CT252" s="67"/>
      <c r="CU252" s="67"/>
      <c r="CV252" s="67"/>
      <c r="CW252" s="67"/>
      <c r="CX252" s="67"/>
    </row>
    <row r="253" spans="16:102" s="123" customFormat="1" ht="14.5" x14ac:dyDescent="0.35">
      <c r="P253" s="146"/>
      <c r="Q253" s="146"/>
      <c r="R253" s="146"/>
      <c r="S253" s="146"/>
      <c r="T253" s="146"/>
      <c r="U253" s="146"/>
      <c r="V253" s="146"/>
      <c r="W253" s="146"/>
      <c r="X253" s="146"/>
      <c r="Y253" s="146"/>
      <c r="Z253" s="146"/>
      <c r="AA253" s="146"/>
      <c r="AB253" s="146" t="s">
        <v>214</v>
      </c>
      <c r="AC253" s="146"/>
      <c r="AD253" s="146"/>
      <c r="AE253" s="146"/>
      <c r="AF253" s="146"/>
      <c r="AG253" s="146"/>
      <c r="AH253" s="146"/>
      <c r="AI253" s="146"/>
      <c r="AJ253" s="146"/>
      <c r="AK253" s="146"/>
      <c r="AL253" s="146"/>
      <c r="AM253" s="146"/>
      <c r="AN253" s="146"/>
      <c r="AO253" s="146"/>
      <c r="AP253" s="146"/>
      <c r="AQ253" s="146"/>
      <c r="AR253" s="146"/>
      <c r="AS253" s="146"/>
      <c r="AT253" s="146"/>
      <c r="AU253" s="146"/>
      <c r="AV253" s="146"/>
      <c r="AW253" s="146"/>
      <c r="AX253" s="146"/>
      <c r="AY253" s="146"/>
      <c r="AZ253" s="146"/>
      <c r="BA253" s="146"/>
      <c r="BB253" s="146"/>
      <c r="BC253" s="146"/>
      <c r="BD253" s="146"/>
      <c r="BE253" s="146"/>
      <c r="BF253" s="146"/>
      <c r="BG253" s="146"/>
      <c r="BH253" s="146"/>
      <c r="BI253" s="146"/>
      <c r="BJ253" s="146"/>
      <c r="BK253" s="146"/>
      <c r="BL253" s="146"/>
      <c r="BM253" s="146"/>
      <c r="BN253" s="67"/>
      <c r="BO253" s="67"/>
      <c r="BP253" s="67"/>
      <c r="BQ253" s="67"/>
      <c r="BR253" s="67"/>
      <c r="BS253" s="67"/>
      <c r="BT253" s="67"/>
      <c r="BU253" s="67"/>
      <c r="BV253" s="67"/>
      <c r="BW253" s="67"/>
      <c r="BX253" s="67"/>
      <c r="BY253" s="67"/>
      <c r="BZ253" s="67"/>
      <c r="CA253" s="67"/>
      <c r="CB253" s="67"/>
      <c r="CC253" s="67"/>
      <c r="CD253" s="67"/>
      <c r="CE253" s="67"/>
      <c r="CF253" s="67"/>
      <c r="CG253" s="67"/>
      <c r="CH253" s="67"/>
      <c r="CI253" s="67"/>
      <c r="CJ253" s="67"/>
      <c r="CK253" s="67"/>
      <c r="CL253" s="67"/>
      <c r="CM253" s="67"/>
      <c r="CN253" s="67"/>
      <c r="CO253" s="67"/>
      <c r="CP253" s="67"/>
      <c r="CQ253" s="67"/>
      <c r="CR253" s="67"/>
      <c r="CS253" s="67"/>
      <c r="CT253" s="67"/>
      <c r="CU253" s="67"/>
      <c r="CV253" s="67"/>
      <c r="CW253" s="67"/>
      <c r="CX253" s="67"/>
    </row>
    <row r="254" spans="16:102" s="123" customFormat="1" ht="14.5" x14ac:dyDescent="0.35">
      <c r="P254" s="146"/>
      <c r="Q254" s="146"/>
      <c r="R254" s="146"/>
      <c r="S254" s="146"/>
      <c r="T254" s="146"/>
      <c r="U254" s="146"/>
      <c r="V254" s="146"/>
      <c r="W254" s="146"/>
      <c r="X254" s="146"/>
      <c r="Y254" s="146"/>
      <c r="Z254" s="146"/>
      <c r="AA254" s="146"/>
      <c r="AB254" s="146" t="s">
        <v>215</v>
      </c>
      <c r="AC254" s="146"/>
      <c r="AD254" s="146"/>
      <c r="AE254" s="146"/>
      <c r="AF254" s="146"/>
      <c r="AG254" s="146"/>
      <c r="AH254" s="146"/>
      <c r="AI254" s="146"/>
      <c r="AJ254" s="146"/>
      <c r="AK254" s="146"/>
      <c r="AL254" s="146"/>
      <c r="AM254" s="146"/>
      <c r="AN254" s="146"/>
      <c r="AO254" s="146"/>
      <c r="AP254" s="146"/>
      <c r="AQ254" s="146"/>
      <c r="AR254" s="146"/>
      <c r="AS254" s="146"/>
      <c r="AT254" s="146"/>
      <c r="AU254" s="146"/>
      <c r="AV254" s="146"/>
      <c r="AW254" s="146"/>
      <c r="AX254" s="146"/>
      <c r="AY254" s="146"/>
      <c r="AZ254" s="146"/>
      <c r="BA254" s="146"/>
      <c r="BB254" s="146"/>
      <c r="BC254" s="146"/>
      <c r="BD254" s="146"/>
      <c r="BE254" s="146"/>
      <c r="BF254" s="146"/>
      <c r="BG254" s="146"/>
      <c r="BH254" s="146"/>
      <c r="BI254" s="146"/>
      <c r="BJ254" s="146"/>
      <c r="BK254" s="146"/>
      <c r="BL254" s="146"/>
      <c r="BM254" s="146"/>
      <c r="BN254" s="67"/>
      <c r="BO254" s="67"/>
      <c r="BP254" s="67"/>
      <c r="BQ254" s="67"/>
      <c r="BR254" s="67"/>
      <c r="BS254" s="67"/>
      <c r="BT254" s="67"/>
      <c r="BU254" s="67"/>
      <c r="BV254" s="67"/>
      <c r="BW254" s="67"/>
      <c r="BX254" s="67"/>
      <c r="BY254" s="67"/>
      <c r="BZ254" s="67"/>
      <c r="CA254" s="67"/>
      <c r="CB254" s="67"/>
      <c r="CC254" s="67"/>
      <c r="CD254" s="67"/>
      <c r="CE254" s="67"/>
      <c r="CF254" s="67"/>
      <c r="CG254" s="67"/>
      <c r="CH254" s="67"/>
      <c r="CI254" s="67"/>
      <c r="CJ254" s="67"/>
      <c r="CK254" s="67"/>
      <c r="CL254" s="67"/>
      <c r="CM254" s="67"/>
      <c r="CN254" s="67"/>
      <c r="CO254" s="67"/>
      <c r="CP254" s="67"/>
      <c r="CQ254" s="67"/>
      <c r="CR254" s="67"/>
      <c r="CS254" s="67"/>
      <c r="CT254" s="67"/>
      <c r="CU254" s="67"/>
      <c r="CV254" s="67"/>
      <c r="CW254" s="67"/>
      <c r="CX254" s="67"/>
    </row>
    <row r="255" spans="16:102" s="123" customFormat="1" ht="14.5" x14ac:dyDescent="0.35">
      <c r="P255" s="146"/>
      <c r="Q255" s="146"/>
      <c r="R255" s="146"/>
      <c r="S255" s="146"/>
      <c r="T255" s="146"/>
      <c r="U255" s="146"/>
      <c r="V255" s="146"/>
      <c r="W255" s="146"/>
      <c r="X255" s="146"/>
      <c r="Y255" s="146"/>
      <c r="Z255" s="146"/>
      <c r="AA255" s="146"/>
      <c r="AB255" s="146" t="s">
        <v>216</v>
      </c>
      <c r="AC255" s="146"/>
      <c r="AD255" s="146"/>
      <c r="AE255" s="146"/>
      <c r="AF255" s="146"/>
      <c r="AG255" s="146"/>
      <c r="AH255" s="146"/>
      <c r="AI255" s="146"/>
      <c r="AJ255" s="146"/>
      <c r="AK255" s="146"/>
      <c r="AL255" s="146"/>
      <c r="AM255" s="146"/>
      <c r="AN255" s="146"/>
      <c r="AO255" s="146"/>
      <c r="AP255" s="146"/>
      <c r="AQ255" s="146"/>
      <c r="AR255" s="146"/>
      <c r="AS255" s="146"/>
      <c r="AT255" s="146"/>
      <c r="AU255" s="146"/>
      <c r="AV255" s="146"/>
      <c r="AW255" s="146"/>
      <c r="AX255" s="146"/>
      <c r="AY255" s="146"/>
      <c r="AZ255" s="146"/>
      <c r="BA255" s="146"/>
      <c r="BB255" s="146"/>
      <c r="BC255" s="146"/>
      <c r="BD255" s="146"/>
      <c r="BE255" s="146"/>
      <c r="BF255" s="146"/>
      <c r="BG255" s="146"/>
      <c r="BH255" s="146"/>
      <c r="BI255" s="146"/>
      <c r="BJ255" s="146"/>
      <c r="BK255" s="146"/>
      <c r="BL255" s="146"/>
      <c r="BM255" s="146"/>
      <c r="BN255" s="67"/>
      <c r="BO255" s="67"/>
      <c r="BP255" s="67"/>
      <c r="BQ255" s="67"/>
      <c r="BR255" s="67"/>
      <c r="BS255" s="67"/>
      <c r="BT255" s="67"/>
      <c r="BU255" s="67"/>
      <c r="BV255" s="67"/>
      <c r="BW255" s="67"/>
      <c r="BX255" s="67"/>
      <c r="BY255" s="67"/>
      <c r="BZ255" s="67"/>
      <c r="CA255" s="67"/>
      <c r="CB255" s="67"/>
      <c r="CC255" s="67"/>
      <c r="CD255" s="67"/>
      <c r="CE255" s="67"/>
      <c r="CF255" s="67"/>
      <c r="CG255" s="67"/>
      <c r="CH255" s="67"/>
      <c r="CI255" s="67"/>
      <c r="CJ255" s="67"/>
      <c r="CK255" s="67"/>
      <c r="CL255" s="67"/>
      <c r="CM255" s="67"/>
      <c r="CN255" s="67"/>
      <c r="CO255" s="67"/>
      <c r="CP255" s="67"/>
      <c r="CQ255" s="67"/>
      <c r="CR255" s="67"/>
      <c r="CS255" s="67"/>
      <c r="CT255" s="67"/>
      <c r="CU255" s="67"/>
      <c r="CV255" s="67"/>
      <c r="CW255" s="67"/>
      <c r="CX255" s="67"/>
    </row>
    <row r="256" spans="16:102" s="123" customFormat="1" ht="14.5" x14ac:dyDescent="0.35">
      <c r="P256" s="146"/>
      <c r="Q256" s="146"/>
      <c r="R256" s="146"/>
      <c r="S256" s="146"/>
      <c r="T256" s="146"/>
      <c r="U256" s="146"/>
      <c r="V256" s="146"/>
      <c r="W256" s="146"/>
      <c r="X256" s="146"/>
      <c r="Y256" s="146"/>
      <c r="Z256" s="146"/>
      <c r="AA256" s="146"/>
      <c r="AB256" s="146" t="s">
        <v>217</v>
      </c>
      <c r="AC256" s="146"/>
      <c r="AD256" s="146"/>
      <c r="AE256" s="146"/>
      <c r="AF256" s="146"/>
      <c r="AG256" s="146"/>
      <c r="AH256" s="146"/>
      <c r="AI256" s="146"/>
      <c r="AJ256" s="146"/>
      <c r="AK256" s="146"/>
      <c r="AL256" s="146"/>
      <c r="AM256" s="146"/>
      <c r="AN256" s="146"/>
      <c r="AO256" s="146"/>
      <c r="AP256" s="146"/>
      <c r="AQ256" s="146"/>
      <c r="AR256" s="146"/>
      <c r="AS256" s="146"/>
      <c r="AT256" s="146"/>
      <c r="AU256" s="146"/>
      <c r="AV256" s="146"/>
      <c r="AW256" s="146"/>
      <c r="AX256" s="146"/>
      <c r="AY256" s="146"/>
      <c r="AZ256" s="146"/>
      <c r="BA256" s="146"/>
      <c r="BB256" s="146"/>
      <c r="BC256" s="146"/>
      <c r="BD256" s="146"/>
      <c r="BE256" s="146"/>
      <c r="BF256" s="146"/>
      <c r="BG256" s="146"/>
      <c r="BH256" s="146"/>
      <c r="BI256" s="146"/>
      <c r="BJ256" s="146"/>
      <c r="BK256" s="146"/>
      <c r="BL256" s="146"/>
      <c r="BM256" s="146"/>
      <c r="BN256" s="67"/>
      <c r="BO256" s="67"/>
      <c r="BP256" s="67"/>
      <c r="BQ256" s="67"/>
      <c r="BR256" s="67"/>
      <c r="BS256" s="67"/>
      <c r="BT256" s="67"/>
      <c r="BU256" s="67"/>
      <c r="BV256" s="67"/>
      <c r="BW256" s="67"/>
      <c r="BX256" s="67"/>
      <c r="BY256" s="67"/>
      <c r="BZ256" s="67"/>
      <c r="CA256" s="67"/>
      <c r="CB256" s="67"/>
      <c r="CC256" s="67"/>
      <c r="CD256" s="67"/>
      <c r="CE256" s="67"/>
      <c r="CF256" s="67"/>
      <c r="CG256" s="67"/>
      <c r="CH256" s="67"/>
      <c r="CI256" s="67"/>
      <c r="CJ256" s="67"/>
      <c r="CK256" s="67"/>
      <c r="CL256" s="67"/>
      <c r="CM256" s="67"/>
      <c r="CN256" s="67"/>
      <c r="CO256" s="67"/>
      <c r="CP256" s="67"/>
      <c r="CQ256" s="67"/>
      <c r="CR256" s="67"/>
      <c r="CS256" s="67"/>
      <c r="CT256" s="67"/>
      <c r="CU256" s="67"/>
      <c r="CV256" s="67"/>
      <c r="CW256" s="67"/>
      <c r="CX256" s="67"/>
    </row>
    <row r="257" spans="16:102" s="123" customFormat="1" ht="14.5" x14ac:dyDescent="0.35">
      <c r="P257" s="146"/>
      <c r="Q257" s="146"/>
      <c r="R257" s="146"/>
      <c r="S257" s="146"/>
      <c r="T257" s="146"/>
      <c r="U257" s="146"/>
      <c r="V257" s="146"/>
      <c r="W257" s="146"/>
      <c r="X257" s="146"/>
      <c r="Y257" s="146"/>
      <c r="Z257" s="146"/>
      <c r="AA257" s="146"/>
      <c r="AB257" s="146" t="s">
        <v>218</v>
      </c>
      <c r="AC257" s="146"/>
      <c r="AD257" s="146"/>
      <c r="AE257" s="146"/>
      <c r="AF257" s="146"/>
      <c r="AG257" s="146"/>
      <c r="AH257" s="146"/>
      <c r="AI257" s="146"/>
      <c r="AJ257" s="146"/>
      <c r="AK257" s="146"/>
      <c r="AL257" s="146"/>
      <c r="AM257" s="146"/>
      <c r="AN257" s="146"/>
      <c r="AO257" s="146"/>
      <c r="AP257" s="146"/>
      <c r="AQ257" s="146"/>
      <c r="AR257" s="146"/>
      <c r="AS257" s="146"/>
      <c r="AT257" s="146"/>
      <c r="AU257" s="146"/>
      <c r="AV257" s="146"/>
      <c r="AW257" s="146"/>
      <c r="AX257" s="146"/>
      <c r="AY257" s="146"/>
      <c r="AZ257" s="146"/>
      <c r="BA257" s="146"/>
      <c r="BB257" s="146"/>
      <c r="BC257" s="146"/>
      <c r="BD257" s="146"/>
      <c r="BE257" s="146"/>
      <c r="BF257" s="146"/>
      <c r="BG257" s="146"/>
      <c r="BH257" s="146"/>
      <c r="BI257" s="146"/>
      <c r="BJ257" s="146"/>
      <c r="BK257" s="146"/>
      <c r="BL257" s="146"/>
      <c r="BM257" s="146"/>
      <c r="BN257" s="67"/>
      <c r="BO257" s="67"/>
      <c r="BP257" s="67"/>
      <c r="BQ257" s="67"/>
      <c r="BR257" s="67"/>
      <c r="BS257" s="67"/>
      <c r="BT257" s="67"/>
      <c r="BU257" s="67"/>
      <c r="BV257" s="67"/>
      <c r="BW257" s="67"/>
      <c r="BX257" s="67"/>
      <c r="BY257" s="67"/>
      <c r="BZ257" s="67"/>
      <c r="CA257" s="67"/>
      <c r="CB257" s="67"/>
      <c r="CC257" s="67"/>
      <c r="CD257" s="67"/>
      <c r="CE257" s="67"/>
      <c r="CF257" s="67"/>
      <c r="CG257" s="67"/>
      <c r="CH257" s="67"/>
      <c r="CI257" s="67"/>
      <c r="CJ257" s="67"/>
      <c r="CK257" s="67"/>
      <c r="CL257" s="67"/>
      <c r="CM257" s="67"/>
      <c r="CN257" s="67"/>
      <c r="CO257" s="67"/>
      <c r="CP257" s="67"/>
      <c r="CQ257" s="67"/>
      <c r="CR257" s="67"/>
      <c r="CS257" s="67"/>
      <c r="CT257" s="67"/>
      <c r="CU257" s="67"/>
      <c r="CV257" s="67"/>
      <c r="CW257" s="67"/>
      <c r="CX257" s="67"/>
    </row>
    <row r="258" spans="16:102" s="123" customFormat="1" ht="14.5" x14ac:dyDescent="0.35">
      <c r="P258" s="146"/>
      <c r="Q258" s="146"/>
      <c r="R258" s="146"/>
      <c r="S258" s="146"/>
      <c r="T258" s="146"/>
      <c r="U258" s="146"/>
      <c r="V258" s="146"/>
      <c r="W258" s="146"/>
      <c r="X258" s="146"/>
      <c r="Y258" s="146"/>
      <c r="Z258" s="146"/>
      <c r="AA258" s="146"/>
      <c r="AB258" s="146" t="s">
        <v>219</v>
      </c>
      <c r="AC258" s="146"/>
      <c r="AD258" s="146"/>
      <c r="AE258" s="146"/>
      <c r="AF258" s="146"/>
      <c r="AG258" s="146"/>
      <c r="AH258" s="146"/>
      <c r="AI258" s="146"/>
      <c r="AJ258" s="146"/>
      <c r="AK258" s="146"/>
      <c r="AL258" s="146"/>
      <c r="AM258" s="146"/>
      <c r="AN258" s="146"/>
      <c r="AO258" s="146"/>
      <c r="AP258" s="146"/>
      <c r="AQ258" s="146"/>
      <c r="AR258" s="146"/>
      <c r="AS258" s="146"/>
      <c r="AT258" s="146"/>
      <c r="AU258" s="146"/>
      <c r="AV258" s="146"/>
      <c r="AW258" s="146"/>
      <c r="AX258" s="146"/>
      <c r="AY258" s="146"/>
      <c r="AZ258" s="146"/>
      <c r="BA258" s="146"/>
      <c r="BB258" s="146"/>
      <c r="BC258" s="146"/>
      <c r="BD258" s="146"/>
      <c r="BE258" s="146"/>
      <c r="BF258" s="146"/>
      <c r="BG258" s="146"/>
      <c r="BH258" s="146"/>
      <c r="BI258" s="146"/>
      <c r="BJ258" s="146"/>
      <c r="BK258" s="146"/>
      <c r="BL258" s="146"/>
      <c r="BM258" s="146"/>
      <c r="BN258" s="67"/>
      <c r="BO258" s="67"/>
      <c r="BP258" s="67"/>
      <c r="BQ258" s="67"/>
      <c r="BR258" s="67"/>
      <c r="BS258" s="67"/>
      <c r="BT258" s="67"/>
      <c r="BU258" s="67"/>
      <c r="BV258" s="67"/>
      <c r="BW258" s="67"/>
      <c r="BX258" s="67"/>
      <c r="BY258" s="67"/>
      <c r="BZ258" s="67"/>
      <c r="CA258" s="67"/>
      <c r="CB258" s="67"/>
      <c r="CC258" s="67"/>
      <c r="CD258" s="67"/>
      <c r="CE258" s="67"/>
      <c r="CF258" s="67"/>
      <c r="CG258" s="67"/>
      <c r="CH258" s="67"/>
      <c r="CI258" s="67"/>
      <c r="CJ258" s="67"/>
      <c r="CK258" s="67"/>
      <c r="CL258" s="67"/>
      <c r="CM258" s="67"/>
      <c r="CN258" s="67"/>
      <c r="CO258" s="67"/>
      <c r="CP258" s="67"/>
      <c r="CQ258" s="67"/>
      <c r="CR258" s="67"/>
      <c r="CS258" s="67"/>
      <c r="CT258" s="67"/>
      <c r="CU258" s="67"/>
      <c r="CV258" s="67"/>
      <c r="CW258" s="67"/>
      <c r="CX258" s="67"/>
    </row>
    <row r="259" spans="16:102" s="123" customFormat="1" ht="14.5" x14ac:dyDescent="0.35">
      <c r="P259" s="146"/>
      <c r="Q259" s="146"/>
      <c r="R259" s="146"/>
      <c r="S259" s="146"/>
      <c r="T259" s="146"/>
      <c r="U259" s="146"/>
      <c r="V259" s="146"/>
      <c r="W259" s="146"/>
      <c r="X259" s="146"/>
      <c r="Y259" s="146"/>
      <c r="Z259" s="146"/>
      <c r="AA259" s="146"/>
      <c r="AB259" s="146" t="s">
        <v>220</v>
      </c>
      <c r="AC259" s="146"/>
      <c r="AD259" s="146"/>
      <c r="AE259" s="146"/>
      <c r="AF259" s="146"/>
      <c r="AG259" s="146"/>
      <c r="AH259" s="146"/>
      <c r="AI259" s="146"/>
      <c r="AJ259" s="146"/>
      <c r="AK259" s="146"/>
      <c r="AL259" s="146"/>
      <c r="AM259" s="146"/>
      <c r="AN259" s="146"/>
      <c r="AO259" s="146"/>
      <c r="AP259" s="146"/>
      <c r="AQ259" s="146"/>
      <c r="AR259" s="146"/>
      <c r="AS259" s="146"/>
      <c r="AT259" s="146"/>
      <c r="AU259" s="146"/>
      <c r="AV259" s="146"/>
      <c r="AW259" s="146"/>
      <c r="AX259" s="146"/>
      <c r="AY259" s="146"/>
      <c r="AZ259" s="146"/>
      <c r="BA259" s="146"/>
      <c r="BB259" s="146"/>
      <c r="BC259" s="146"/>
      <c r="BD259" s="146"/>
      <c r="BE259" s="146"/>
      <c r="BF259" s="146"/>
      <c r="BG259" s="146"/>
      <c r="BH259" s="146"/>
      <c r="BI259" s="146"/>
      <c r="BJ259" s="146"/>
      <c r="BK259" s="146"/>
      <c r="BL259" s="146"/>
      <c r="BM259" s="146"/>
      <c r="BN259" s="67"/>
      <c r="BO259" s="67"/>
      <c r="BP259" s="67"/>
      <c r="BQ259" s="67"/>
      <c r="BR259" s="67"/>
      <c r="BS259" s="67"/>
      <c r="BT259" s="67"/>
      <c r="BU259" s="67"/>
      <c r="BV259" s="67"/>
      <c r="BW259" s="67"/>
      <c r="BX259" s="67"/>
      <c r="BY259" s="67"/>
      <c r="BZ259" s="67"/>
      <c r="CA259" s="67"/>
      <c r="CB259" s="67"/>
      <c r="CC259" s="67"/>
      <c r="CD259" s="67"/>
      <c r="CE259" s="67"/>
      <c r="CF259" s="67"/>
      <c r="CG259" s="67"/>
      <c r="CH259" s="67"/>
      <c r="CI259" s="67"/>
      <c r="CJ259" s="67"/>
      <c r="CK259" s="67"/>
      <c r="CL259" s="67"/>
      <c r="CM259" s="67"/>
      <c r="CN259" s="67"/>
      <c r="CO259" s="67"/>
      <c r="CP259" s="67"/>
      <c r="CQ259" s="67"/>
      <c r="CR259" s="67"/>
      <c r="CS259" s="67"/>
      <c r="CT259" s="67"/>
      <c r="CU259" s="67"/>
      <c r="CV259" s="67"/>
      <c r="CW259" s="67"/>
      <c r="CX259" s="67"/>
    </row>
    <row r="260" spans="16:102" s="123" customFormat="1" ht="14.5" x14ac:dyDescent="0.35">
      <c r="P260" s="146"/>
      <c r="Q260" s="146"/>
      <c r="R260" s="146"/>
      <c r="S260" s="146"/>
      <c r="T260" s="146"/>
      <c r="U260" s="146"/>
      <c r="V260" s="146"/>
      <c r="W260" s="146"/>
      <c r="X260" s="146"/>
      <c r="Y260" s="146"/>
      <c r="Z260" s="146"/>
      <c r="AA260" s="146"/>
      <c r="AB260" s="146" t="s">
        <v>221</v>
      </c>
      <c r="AC260" s="146"/>
      <c r="AD260" s="146"/>
      <c r="AE260" s="146"/>
      <c r="AF260" s="146"/>
      <c r="AG260" s="146"/>
      <c r="AH260" s="146"/>
      <c r="AI260" s="146"/>
      <c r="AJ260" s="146"/>
      <c r="AK260" s="146"/>
      <c r="AL260" s="146"/>
      <c r="AM260" s="146"/>
      <c r="AN260" s="146"/>
      <c r="AO260" s="146"/>
      <c r="AP260" s="146"/>
      <c r="AQ260" s="146"/>
      <c r="AR260" s="146"/>
      <c r="AS260" s="146"/>
      <c r="AT260" s="146"/>
      <c r="AU260" s="146"/>
      <c r="AV260" s="146"/>
      <c r="AW260" s="146"/>
      <c r="AX260" s="146"/>
      <c r="AY260" s="146"/>
      <c r="AZ260" s="146"/>
      <c r="BA260" s="146"/>
      <c r="BB260" s="146"/>
      <c r="BC260" s="146"/>
      <c r="BD260" s="146"/>
      <c r="BE260" s="146"/>
      <c r="BF260" s="146"/>
      <c r="BG260" s="146"/>
      <c r="BH260" s="146"/>
      <c r="BI260" s="146"/>
      <c r="BJ260" s="146"/>
      <c r="BK260" s="146"/>
      <c r="BL260" s="146"/>
      <c r="BM260" s="146"/>
      <c r="BN260" s="67"/>
      <c r="BO260" s="67"/>
      <c r="BP260" s="67"/>
      <c r="BQ260" s="67"/>
      <c r="BR260" s="67"/>
      <c r="BS260" s="67"/>
      <c r="BT260" s="67"/>
      <c r="BU260" s="67"/>
      <c r="BV260" s="67"/>
      <c r="BW260" s="67"/>
      <c r="BX260" s="67"/>
      <c r="BY260" s="67"/>
      <c r="BZ260" s="67"/>
      <c r="CA260" s="67"/>
      <c r="CB260" s="67"/>
      <c r="CC260" s="67"/>
      <c r="CD260" s="67"/>
      <c r="CE260" s="67"/>
      <c r="CF260" s="67"/>
      <c r="CG260" s="67"/>
      <c r="CH260" s="67"/>
      <c r="CI260" s="67"/>
      <c r="CJ260" s="67"/>
      <c r="CK260" s="67"/>
      <c r="CL260" s="67"/>
      <c r="CM260" s="67"/>
      <c r="CN260" s="67"/>
      <c r="CO260" s="67"/>
      <c r="CP260" s="67"/>
      <c r="CQ260" s="67"/>
      <c r="CR260" s="67"/>
      <c r="CS260" s="67"/>
      <c r="CT260" s="67"/>
      <c r="CU260" s="67"/>
      <c r="CV260" s="67"/>
      <c r="CW260" s="67"/>
      <c r="CX260" s="67"/>
    </row>
    <row r="261" spans="16:102" s="123" customFormat="1" ht="14.5" x14ac:dyDescent="0.35">
      <c r="P261" s="146"/>
      <c r="Q261" s="146"/>
      <c r="R261" s="146"/>
      <c r="S261" s="146"/>
      <c r="T261" s="146"/>
      <c r="U261" s="146"/>
      <c r="V261" s="146"/>
      <c r="W261" s="146"/>
      <c r="X261" s="146"/>
      <c r="Y261" s="146"/>
      <c r="Z261" s="146"/>
      <c r="AA261" s="146"/>
      <c r="AB261" s="146" t="s">
        <v>222</v>
      </c>
      <c r="AC261" s="146"/>
      <c r="AD261" s="146"/>
      <c r="AE261" s="146"/>
      <c r="AF261" s="146"/>
      <c r="AG261" s="146"/>
      <c r="AH261" s="146"/>
      <c r="AI261" s="146"/>
      <c r="AJ261" s="146"/>
      <c r="AK261" s="146"/>
      <c r="AL261" s="146"/>
      <c r="AM261" s="146"/>
      <c r="AN261" s="146"/>
      <c r="AO261" s="146"/>
      <c r="AP261" s="146"/>
      <c r="AQ261" s="146"/>
      <c r="AR261" s="146"/>
      <c r="AS261" s="146"/>
      <c r="AT261" s="146"/>
      <c r="AU261" s="146"/>
      <c r="AV261" s="146"/>
      <c r="AW261" s="146"/>
      <c r="AX261" s="146"/>
      <c r="AY261" s="146"/>
      <c r="AZ261" s="146"/>
      <c r="BA261" s="146"/>
      <c r="BB261" s="146"/>
      <c r="BC261" s="146"/>
      <c r="BD261" s="146"/>
      <c r="BE261" s="146"/>
      <c r="BF261" s="146"/>
      <c r="BG261" s="146"/>
      <c r="BH261" s="146"/>
      <c r="BI261" s="146"/>
      <c r="BJ261" s="146"/>
      <c r="BK261" s="146"/>
      <c r="BL261" s="146"/>
      <c r="BM261" s="146"/>
      <c r="BN261" s="67"/>
      <c r="BO261" s="67"/>
      <c r="BP261" s="67"/>
      <c r="BQ261" s="67"/>
      <c r="BR261" s="67"/>
      <c r="BS261" s="67"/>
      <c r="BT261" s="67"/>
      <c r="BU261" s="67"/>
      <c r="BV261" s="67"/>
      <c r="BW261" s="67"/>
      <c r="BX261" s="67"/>
      <c r="BY261" s="67"/>
      <c r="BZ261" s="67"/>
      <c r="CA261" s="67"/>
      <c r="CB261" s="67"/>
      <c r="CC261" s="67"/>
      <c r="CD261" s="67"/>
      <c r="CE261" s="67"/>
      <c r="CF261" s="67"/>
      <c r="CG261" s="67"/>
      <c r="CH261" s="67"/>
      <c r="CI261" s="67"/>
      <c r="CJ261" s="67"/>
      <c r="CK261" s="67"/>
      <c r="CL261" s="67"/>
      <c r="CM261" s="67"/>
      <c r="CN261" s="67"/>
      <c r="CO261" s="67"/>
      <c r="CP261" s="67"/>
      <c r="CQ261" s="67"/>
      <c r="CR261" s="67"/>
      <c r="CS261" s="67"/>
      <c r="CT261" s="67"/>
      <c r="CU261" s="67"/>
      <c r="CV261" s="67"/>
      <c r="CW261" s="67"/>
      <c r="CX261" s="67"/>
    </row>
    <row r="262" spans="16:102" s="123" customFormat="1" ht="14.5" x14ac:dyDescent="0.35">
      <c r="P262" s="146"/>
      <c r="Q262" s="146"/>
      <c r="R262" s="146"/>
      <c r="S262" s="146"/>
      <c r="T262" s="146"/>
      <c r="U262" s="146"/>
      <c r="V262" s="146"/>
      <c r="W262" s="146"/>
      <c r="X262" s="146"/>
      <c r="Y262" s="146"/>
      <c r="Z262" s="146"/>
      <c r="AA262" s="146"/>
      <c r="AB262" s="146" t="s">
        <v>223</v>
      </c>
      <c r="AC262" s="146"/>
      <c r="AD262" s="146"/>
      <c r="AE262" s="146"/>
      <c r="AF262" s="146"/>
      <c r="AG262" s="146"/>
      <c r="AH262" s="146"/>
      <c r="AI262" s="146"/>
      <c r="AJ262" s="146"/>
      <c r="AK262" s="146"/>
      <c r="AL262" s="146"/>
      <c r="AM262" s="146"/>
      <c r="AN262" s="146"/>
      <c r="AO262" s="146"/>
      <c r="AP262" s="146"/>
      <c r="AQ262" s="146"/>
      <c r="AR262" s="146"/>
      <c r="AS262" s="146"/>
      <c r="AT262" s="146"/>
      <c r="AU262" s="146"/>
      <c r="AV262" s="146"/>
      <c r="AW262" s="146"/>
      <c r="AX262" s="146"/>
      <c r="AY262" s="146"/>
      <c r="AZ262" s="146"/>
      <c r="BA262" s="146"/>
      <c r="BB262" s="146"/>
      <c r="BC262" s="146"/>
      <c r="BD262" s="146"/>
      <c r="BE262" s="146"/>
      <c r="BF262" s="146"/>
      <c r="BG262" s="146"/>
      <c r="BH262" s="146"/>
      <c r="BI262" s="146"/>
      <c r="BJ262" s="146"/>
      <c r="BK262" s="146"/>
      <c r="BL262" s="146"/>
      <c r="BM262" s="146"/>
      <c r="BN262" s="67"/>
      <c r="BO262" s="67"/>
      <c r="BP262" s="67"/>
      <c r="BQ262" s="67"/>
      <c r="BR262" s="67"/>
      <c r="BS262" s="67"/>
      <c r="BT262" s="67"/>
      <c r="BU262" s="67"/>
      <c r="BV262" s="67"/>
      <c r="BW262" s="67"/>
      <c r="BX262" s="67"/>
      <c r="BY262" s="67"/>
      <c r="BZ262" s="67"/>
      <c r="CA262" s="67"/>
      <c r="CB262" s="67"/>
      <c r="CC262" s="67"/>
      <c r="CD262" s="67"/>
      <c r="CE262" s="67"/>
      <c r="CF262" s="67"/>
      <c r="CG262" s="67"/>
      <c r="CH262" s="67"/>
      <c r="CI262" s="67"/>
      <c r="CJ262" s="67"/>
      <c r="CK262" s="67"/>
      <c r="CL262" s="67"/>
      <c r="CM262" s="67"/>
      <c r="CN262" s="67"/>
      <c r="CO262" s="67"/>
      <c r="CP262" s="67"/>
      <c r="CQ262" s="67"/>
      <c r="CR262" s="67"/>
      <c r="CS262" s="67"/>
      <c r="CT262" s="67"/>
      <c r="CU262" s="67"/>
      <c r="CV262" s="67"/>
      <c r="CW262" s="67"/>
      <c r="CX262" s="67"/>
    </row>
    <row r="263" spans="16:102" s="123" customFormat="1" ht="14.5" x14ac:dyDescent="0.35">
      <c r="P263" s="146"/>
      <c r="Q263" s="146"/>
      <c r="R263" s="146"/>
      <c r="S263" s="146"/>
      <c r="T263" s="146"/>
      <c r="U263" s="146"/>
      <c r="V263" s="146"/>
      <c r="W263" s="146"/>
      <c r="X263" s="146"/>
      <c r="Y263" s="146"/>
      <c r="Z263" s="146"/>
      <c r="AA263" s="146"/>
      <c r="AB263" s="146" t="s">
        <v>224</v>
      </c>
      <c r="AC263" s="146"/>
      <c r="AD263" s="146"/>
      <c r="AE263" s="146"/>
      <c r="AF263" s="146"/>
      <c r="AG263" s="146"/>
      <c r="AH263" s="146"/>
      <c r="AI263" s="146"/>
      <c r="AJ263" s="146"/>
      <c r="AK263" s="146"/>
      <c r="AL263" s="146"/>
      <c r="AM263" s="146"/>
      <c r="AN263" s="146"/>
      <c r="AO263" s="146"/>
      <c r="AP263" s="146"/>
      <c r="AQ263" s="146"/>
      <c r="AR263" s="146"/>
      <c r="AS263" s="146"/>
      <c r="AT263" s="146"/>
      <c r="AU263" s="146"/>
      <c r="AV263" s="146"/>
      <c r="AW263" s="146"/>
      <c r="AX263" s="146"/>
      <c r="AY263" s="146"/>
      <c r="AZ263" s="146"/>
      <c r="BA263" s="146"/>
      <c r="BB263" s="146"/>
      <c r="BC263" s="146"/>
      <c r="BD263" s="146"/>
      <c r="BE263" s="146"/>
      <c r="BF263" s="146"/>
      <c r="BG263" s="146"/>
      <c r="BH263" s="146"/>
      <c r="BI263" s="146"/>
      <c r="BJ263" s="146"/>
      <c r="BK263" s="146"/>
      <c r="BL263" s="146"/>
      <c r="BM263" s="146"/>
      <c r="BN263" s="67"/>
      <c r="BO263" s="67"/>
      <c r="BP263" s="67"/>
      <c r="BQ263" s="67"/>
      <c r="BR263" s="67"/>
      <c r="BS263" s="67"/>
      <c r="BT263" s="67"/>
      <c r="BU263" s="67"/>
      <c r="BV263" s="67"/>
      <c r="BW263" s="67"/>
      <c r="BX263" s="67"/>
      <c r="BY263" s="67"/>
      <c r="BZ263" s="67"/>
      <c r="CA263" s="67"/>
      <c r="CB263" s="67"/>
      <c r="CC263" s="67"/>
      <c r="CD263" s="67"/>
      <c r="CE263" s="67"/>
      <c r="CF263" s="67"/>
      <c r="CG263" s="67"/>
      <c r="CH263" s="67"/>
      <c r="CI263" s="67"/>
      <c r="CJ263" s="67"/>
      <c r="CK263" s="67"/>
      <c r="CL263" s="67"/>
      <c r="CM263" s="67"/>
      <c r="CN263" s="67"/>
      <c r="CO263" s="67"/>
      <c r="CP263" s="67"/>
      <c r="CQ263" s="67"/>
      <c r="CR263" s="67"/>
      <c r="CS263" s="67"/>
      <c r="CT263" s="67"/>
      <c r="CU263" s="67"/>
      <c r="CV263" s="67"/>
      <c r="CW263" s="67"/>
      <c r="CX263" s="67"/>
    </row>
    <row r="264" spans="16:102" s="123" customFormat="1" ht="14.5" x14ac:dyDescent="0.35">
      <c r="P264" s="146"/>
      <c r="Q264" s="146"/>
      <c r="R264" s="146"/>
      <c r="S264" s="146"/>
      <c r="T264" s="146"/>
      <c r="U264" s="146"/>
      <c r="V264" s="146"/>
      <c r="W264" s="146"/>
      <c r="X264" s="146"/>
      <c r="Y264" s="146"/>
      <c r="Z264" s="146"/>
      <c r="AA264" s="146"/>
      <c r="AB264" s="146" t="s">
        <v>225</v>
      </c>
      <c r="AC264" s="146"/>
      <c r="AD264" s="146"/>
      <c r="AE264" s="146"/>
      <c r="AF264" s="146"/>
      <c r="AG264" s="146"/>
      <c r="AH264" s="146"/>
      <c r="AI264" s="146"/>
      <c r="AJ264" s="146"/>
      <c r="AK264" s="146"/>
      <c r="AL264" s="146"/>
      <c r="AM264" s="146"/>
      <c r="AN264" s="146"/>
      <c r="AO264" s="146"/>
      <c r="AP264" s="146"/>
      <c r="AQ264" s="146"/>
      <c r="AR264" s="146"/>
      <c r="AS264" s="146"/>
      <c r="AT264" s="146"/>
      <c r="AU264" s="146"/>
      <c r="AV264" s="146"/>
      <c r="AW264" s="146"/>
      <c r="AX264" s="146"/>
      <c r="AY264" s="146"/>
      <c r="AZ264" s="146"/>
      <c r="BA264" s="146"/>
      <c r="BB264" s="146"/>
      <c r="BC264" s="146"/>
      <c r="BD264" s="146"/>
      <c r="BE264" s="146"/>
      <c r="BF264" s="146"/>
      <c r="BG264" s="146"/>
      <c r="BH264" s="146"/>
      <c r="BI264" s="146"/>
      <c r="BJ264" s="146"/>
      <c r="BK264" s="146"/>
      <c r="BL264" s="146"/>
      <c r="BM264" s="146"/>
      <c r="BN264" s="67"/>
      <c r="BO264" s="67"/>
      <c r="BP264" s="67"/>
      <c r="BQ264" s="67"/>
      <c r="BR264" s="67"/>
      <c r="BS264" s="67"/>
      <c r="BT264" s="67"/>
      <c r="BU264" s="67"/>
      <c r="BV264" s="67"/>
      <c r="BW264" s="67"/>
      <c r="BX264" s="67"/>
      <c r="BY264" s="67"/>
      <c r="BZ264" s="67"/>
      <c r="CA264" s="67"/>
      <c r="CB264" s="67"/>
      <c r="CC264" s="67"/>
      <c r="CD264" s="67"/>
      <c r="CE264" s="67"/>
      <c r="CF264" s="67"/>
      <c r="CG264" s="67"/>
      <c r="CH264" s="67"/>
      <c r="CI264" s="67"/>
      <c r="CJ264" s="67"/>
      <c r="CK264" s="67"/>
      <c r="CL264" s="67"/>
      <c r="CM264" s="67"/>
      <c r="CN264" s="67"/>
      <c r="CO264" s="67"/>
      <c r="CP264" s="67"/>
      <c r="CQ264" s="67"/>
      <c r="CR264" s="67"/>
      <c r="CS264" s="67"/>
      <c r="CT264" s="67"/>
      <c r="CU264" s="67"/>
      <c r="CV264" s="67"/>
      <c r="CW264" s="67"/>
      <c r="CX264" s="67"/>
    </row>
    <row r="265" spans="16:102" s="123" customFormat="1" ht="14.5" x14ac:dyDescent="0.35">
      <c r="P265" s="146"/>
      <c r="Q265" s="146"/>
      <c r="R265" s="146"/>
      <c r="S265" s="146"/>
      <c r="T265" s="146"/>
      <c r="U265" s="146"/>
      <c r="V265" s="146"/>
      <c r="W265" s="146"/>
      <c r="X265" s="146"/>
      <c r="Y265" s="146"/>
      <c r="Z265" s="146"/>
      <c r="AA265" s="146"/>
      <c r="AB265" s="146" t="s">
        <v>226</v>
      </c>
      <c r="AC265" s="146"/>
      <c r="AD265" s="146"/>
      <c r="AE265" s="146"/>
      <c r="AF265" s="146"/>
      <c r="AG265" s="146"/>
      <c r="AH265" s="146"/>
      <c r="AI265" s="146"/>
      <c r="AJ265" s="146"/>
      <c r="AK265" s="146"/>
      <c r="AL265" s="146"/>
      <c r="AM265" s="146"/>
      <c r="AN265" s="146"/>
      <c r="AO265" s="146"/>
      <c r="AP265" s="146"/>
      <c r="AQ265" s="146"/>
      <c r="AR265" s="146"/>
      <c r="AS265" s="146"/>
      <c r="AT265" s="146"/>
      <c r="AU265" s="146"/>
      <c r="AV265" s="146"/>
      <c r="AW265" s="146"/>
      <c r="AX265" s="146"/>
      <c r="AY265" s="146"/>
      <c r="AZ265" s="146"/>
      <c r="BA265" s="146"/>
      <c r="BB265" s="146"/>
      <c r="BC265" s="146"/>
      <c r="BD265" s="146"/>
      <c r="BE265" s="146"/>
      <c r="BF265" s="146"/>
      <c r="BG265" s="146"/>
      <c r="BH265" s="146"/>
      <c r="BI265" s="146"/>
      <c r="BJ265" s="146"/>
      <c r="BK265" s="146"/>
      <c r="BL265" s="146"/>
      <c r="BM265" s="146"/>
      <c r="BN265" s="67"/>
      <c r="BO265" s="67"/>
      <c r="BP265" s="67"/>
      <c r="BQ265" s="67"/>
      <c r="BR265" s="67"/>
      <c r="BS265" s="67"/>
      <c r="BT265" s="67"/>
      <c r="BU265" s="67"/>
      <c r="BV265" s="67"/>
      <c r="BW265" s="67"/>
      <c r="BX265" s="67"/>
      <c r="BY265" s="67"/>
      <c r="BZ265" s="67"/>
      <c r="CA265" s="67"/>
      <c r="CB265" s="67"/>
      <c r="CC265" s="67"/>
      <c r="CD265" s="67"/>
      <c r="CE265" s="67"/>
      <c r="CF265" s="67"/>
      <c r="CG265" s="67"/>
      <c r="CH265" s="67"/>
      <c r="CI265" s="67"/>
      <c r="CJ265" s="67"/>
      <c r="CK265" s="67"/>
      <c r="CL265" s="67"/>
      <c r="CM265" s="67"/>
      <c r="CN265" s="67"/>
      <c r="CO265" s="67"/>
      <c r="CP265" s="67"/>
      <c r="CQ265" s="67"/>
      <c r="CR265" s="67"/>
      <c r="CS265" s="67"/>
      <c r="CT265" s="67"/>
      <c r="CU265" s="67"/>
      <c r="CV265" s="67"/>
      <c r="CW265" s="67"/>
      <c r="CX265" s="67"/>
    </row>
    <row r="266" spans="16:102" s="123" customFormat="1" ht="14.5" x14ac:dyDescent="0.35">
      <c r="P266" s="146"/>
      <c r="Q266" s="146"/>
      <c r="R266" s="146"/>
      <c r="S266" s="146"/>
      <c r="T266" s="146"/>
      <c r="U266" s="146"/>
      <c r="V266" s="146"/>
      <c r="W266" s="146"/>
      <c r="X266" s="146"/>
      <c r="Y266" s="146"/>
      <c r="Z266" s="146"/>
      <c r="AA266" s="146"/>
      <c r="AB266" s="146" t="s">
        <v>227</v>
      </c>
      <c r="AC266" s="146"/>
      <c r="AD266" s="146"/>
      <c r="AE266" s="146"/>
      <c r="AF266" s="146"/>
      <c r="AG266" s="146"/>
      <c r="AH266" s="146"/>
      <c r="AI266" s="146"/>
      <c r="AJ266" s="146"/>
      <c r="AK266" s="146"/>
      <c r="AL266" s="146"/>
      <c r="AM266" s="146"/>
      <c r="AN266" s="146"/>
      <c r="AO266" s="146"/>
      <c r="AP266" s="146"/>
      <c r="AQ266" s="146"/>
      <c r="AR266" s="146"/>
      <c r="AS266" s="146"/>
      <c r="AT266" s="146"/>
      <c r="AU266" s="146"/>
      <c r="AV266" s="146"/>
      <c r="AW266" s="146"/>
      <c r="AX266" s="146"/>
      <c r="AY266" s="146"/>
      <c r="AZ266" s="146"/>
      <c r="BA266" s="146"/>
      <c r="BB266" s="146"/>
      <c r="BC266" s="146"/>
      <c r="BD266" s="146"/>
      <c r="BE266" s="146"/>
      <c r="BF266" s="146"/>
      <c r="BG266" s="146"/>
      <c r="BH266" s="146"/>
      <c r="BI266" s="146"/>
      <c r="BJ266" s="146"/>
      <c r="BK266" s="146"/>
      <c r="BL266" s="146"/>
      <c r="BM266" s="146"/>
      <c r="BN266" s="67"/>
      <c r="BO266" s="67"/>
      <c r="BP266" s="67"/>
      <c r="BQ266" s="67"/>
      <c r="BR266" s="67"/>
      <c r="BS266" s="67"/>
      <c r="BT266" s="67"/>
      <c r="BU266" s="67"/>
      <c r="BV266" s="67"/>
      <c r="BW266" s="67"/>
      <c r="BX266" s="67"/>
      <c r="BY266" s="67"/>
      <c r="BZ266" s="67"/>
      <c r="CA266" s="67"/>
      <c r="CB266" s="67"/>
      <c r="CC266" s="67"/>
      <c r="CD266" s="67"/>
      <c r="CE266" s="67"/>
      <c r="CF266" s="67"/>
      <c r="CG266" s="67"/>
      <c r="CH266" s="67"/>
      <c r="CI266" s="67"/>
      <c r="CJ266" s="67"/>
      <c r="CK266" s="67"/>
      <c r="CL266" s="67"/>
      <c r="CM266" s="67"/>
      <c r="CN266" s="67"/>
      <c r="CO266" s="67"/>
      <c r="CP266" s="67"/>
      <c r="CQ266" s="67"/>
      <c r="CR266" s="67"/>
      <c r="CS266" s="67"/>
      <c r="CT266" s="67"/>
      <c r="CU266" s="67"/>
      <c r="CV266" s="67"/>
      <c r="CW266" s="67"/>
      <c r="CX266" s="67"/>
    </row>
    <row r="267" spans="16:102" s="123" customFormat="1" ht="14.5" x14ac:dyDescent="0.35">
      <c r="P267" s="146"/>
      <c r="Q267" s="146"/>
      <c r="R267" s="146"/>
      <c r="S267" s="146"/>
      <c r="T267" s="146"/>
      <c r="U267" s="146"/>
      <c r="V267" s="146"/>
      <c r="W267" s="146"/>
      <c r="X267" s="146"/>
      <c r="Y267" s="146"/>
      <c r="Z267" s="146"/>
      <c r="AA267" s="146"/>
      <c r="AB267" s="146" t="s">
        <v>228</v>
      </c>
      <c r="AC267" s="146"/>
      <c r="AD267" s="146"/>
      <c r="AE267" s="146"/>
      <c r="AF267" s="146"/>
      <c r="AG267" s="146"/>
      <c r="AH267" s="146"/>
      <c r="AI267" s="146"/>
      <c r="AJ267" s="146"/>
      <c r="AK267" s="146"/>
      <c r="AL267" s="146"/>
      <c r="AM267" s="146"/>
      <c r="AN267" s="146"/>
      <c r="AO267" s="146"/>
      <c r="AP267" s="146"/>
      <c r="AQ267" s="146"/>
      <c r="AR267" s="146"/>
      <c r="AS267" s="146"/>
      <c r="AT267" s="146"/>
      <c r="AU267" s="146"/>
      <c r="AV267" s="146"/>
      <c r="AW267" s="146"/>
      <c r="AX267" s="146"/>
      <c r="AY267" s="146"/>
      <c r="AZ267" s="146"/>
      <c r="BA267" s="146"/>
      <c r="BB267" s="146"/>
      <c r="BC267" s="146"/>
      <c r="BD267" s="146"/>
      <c r="BE267" s="146"/>
      <c r="BF267" s="146"/>
      <c r="BG267" s="146"/>
      <c r="BH267" s="146"/>
      <c r="BI267" s="146"/>
      <c r="BJ267" s="146"/>
      <c r="BK267" s="146"/>
      <c r="BL267" s="146"/>
      <c r="BM267" s="146"/>
      <c r="BN267" s="67"/>
      <c r="BO267" s="67"/>
      <c r="BP267" s="67"/>
      <c r="BQ267" s="67"/>
      <c r="BR267" s="67"/>
      <c r="BS267" s="67"/>
      <c r="BT267" s="67"/>
      <c r="BU267" s="67"/>
      <c r="BV267" s="67"/>
      <c r="BW267" s="67"/>
      <c r="BX267" s="67"/>
      <c r="BY267" s="67"/>
      <c r="BZ267" s="67"/>
      <c r="CA267" s="67"/>
      <c r="CB267" s="67"/>
      <c r="CC267" s="67"/>
      <c r="CD267" s="67"/>
      <c r="CE267" s="67"/>
      <c r="CF267" s="67"/>
      <c r="CG267" s="67"/>
      <c r="CH267" s="67"/>
      <c r="CI267" s="67"/>
      <c r="CJ267" s="67"/>
      <c r="CK267" s="67"/>
      <c r="CL267" s="67"/>
      <c r="CM267" s="67"/>
      <c r="CN267" s="67"/>
      <c r="CO267" s="67"/>
      <c r="CP267" s="67"/>
      <c r="CQ267" s="67"/>
      <c r="CR267" s="67"/>
      <c r="CS267" s="67"/>
      <c r="CT267" s="67"/>
      <c r="CU267" s="67"/>
      <c r="CV267" s="67"/>
      <c r="CW267" s="67"/>
      <c r="CX267" s="67"/>
    </row>
    <row r="268" spans="16:102" s="123" customFormat="1" ht="14.5" x14ac:dyDescent="0.35">
      <c r="P268" s="146"/>
      <c r="Q268" s="146"/>
      <c r="R268" s="146"/>
      <c r="S268" s="146"/>
      <c r="T268" s="146"/>
      <c r="U268" s="146"/>
      <c r="V268" s="146"/>
      <c r="W268" s="146"/>
      <c r="X268" s="146"/>
      <c r="Y268" s="146"/>
      <c r="Z268" s="146"/>
      <c r="AA268" s="146"/>
      <c r="AB268" s="146" t="s">
        <v>229</v>
      </c>
      <c r="AC268" s="146"/>
      <c r="AD268" s="146"/>
      <c r="AE268" s="146"/>
      <c r="AF268" s="146"/>
      <c r="AG268" s="146"/>
      <c r="AH268" s="146"/>
      <c r="AI268" s="146"/>
      <c r="AJ268" s="146"/>
      <c r="AK268" s="146"/>
      <c r="AL268" s="146"/>
      <c r="AM268" s="146"/>
      <c r="AN268" s="146"/>
      <c r="AO268" s="146"/>
      <c r="AP268" s="146"/>
      <c r="AQ268" s="146"/>
      <c r="AR268" s="146"/>
      <c r="AS268" s="146"/>
      <c r="AT268" s="146"/>
      <c r="AU268" s="146"/>
      <c r="AV268" s="146"/>
      <c r="AW268" s="146"/>
      <c r="AX268" s="146"/>
      <c r="AY268" s="146"/>
      <c r="AZ268" s="146"/>
      <c r="BA268" s="146"/>
      <c r="BB268" s="146"/>
      <c r="BC268" s="146"/>
      <c r="BD268" s="146"/>
      <c r="BE268" s="146"/>
      <c r="BF268" s="146"/>
      <c r="BG268" s="146"/>
      <c r="BH268" s="146"/>
      <c r="BI268" s="146"/>
      <c r="BJ268" s="146"/>
      <c r="BK268" s="146"/>
      <c r="BL268" s="146"/>
      <c r="BM268" s="146"/>
      <c r="BN268" s="67"/>
      <c r="BO268" s="67"/>
      <c r="BP268" s="67"/>
      <c r="BQ268" s="67"/>
      <c r="BR268" s="67"/>
      <c r="BS268" s="67"/>
      <c r="BT268" s="67"/>
      <c r="BU268" s="67"/>
      <c r="BV268" s="67"/>
      <c r="BW268" s="67"/>
      <c r="BX268" s="67"/>
      <c r="BY268" s="67"/>
      <c r="BZ268" s="67"/>
      <c r="CA268" s="67"/>
      <c r="CB268" s="67"/>
      <c r="CC268" s="67"/>
      <c r="CD268" s="67"/>
      <c r="CE268" s="67"/>
      <c r="CF268" s="67"/>
      <c r="CG268" s="67"/>
      <c r="CH268" s="67"/>
      <c r="CI268" s="67"/>
      <c r="CJ268" s="67"/>
      <c r="CK268" s="67"/>
      <c r="CL268" s="67"/>
      <c r="CM268" s="67"/>
      <c r="CN268" s="67"/>
      <c r="CO268" s="67"/>
      <c r="CP268" s="67"/>
      <c r="CQ268" s="67"/>
      <c r="CR268" s="67"/>
      <c r="CS268" s="67"/>
      <c r="CT268" s="67"/>
      <c r="CU268" s="67"/>
      <c r="CV268" s="67"/>
      <c r="CW268" s="67"/>
      <c r="CX268" s="67"/>
    </row>
    <row r="269" spans="16:102" s="123" customFormat="1" ht="14.5" x14ac:dyDescent="0.35">
      <c r="P269" s="146"/>
      <c r="Q269" s="146"/>
      <c r="R269" s="146"/>
      <c r="S269" s="146"/>
      <c r="T269" s="146"/>
      <c r="U269" s="146"/>
      <c r="V269" s="146"/>
      <c r="W269" s="146"/>
      <c r="X269" s="146"/>
      <c r="Y269" s="146"/>
      <c r="Z269" s="146"/>
      <c r="AA269" s="146"/>
      <c r="AB269" s="146" t="s">
        <v>230</v>
      </c>
      <c r="AC269" s="146"/>
      <c r="AD269" s="146"/>
      <c r="AE269" s="146"/>
      <c r="AF269" s="146"/>
      <c r="AG269" s="146"/>
      <c r="AH269" s="146"/>
      <c r="AI269" s="146"/>
      <c r="AJ269" s="146"/>
      <c r="AK269" s="146"/>
      <c r="AL269" s="146"/>
      <c r="AM269" s="146"/>
      <c r="AN269" s="146"/>
      <c r="AO269" s="146"/>
      <c r="AP269" s="146"/>
      <c r="AQ269" s="146"/>
      <c r="AR269" s="146"/>
      <c r="AS269" s="146"/>
      <c r="AT269" s="146"/>
      <c r="AU269" s="146"/>
      <c r="AV269" s="146"/>
      <c r="AW269" s="146"/>
      <c r="AX269" s="146"/>
      <c r="AY269" s="146"/>
      <c r="AZ269" s="146"/>
      <c r="BA269" s="146"/>
      <c r="BB269" s="146"/>
      <c r="BC269" s="146"/>
      <c r="BD269" s="146"/>
      <c r="BE269" s="146"/>
      <c r="BF269" s="146"/>
      <c r="BG269" s="146"/>
      <c r="BH269" s="146"/>
      <c r="BI269" s="146"/>
      <c r="BJ269" s="146"/>
      <c r="BK269" s="146"/>
      <c r="BL269" s="146"/>
      <c r="BM269" s="146"/>
      <c r="BN269" s="67"/>
      <c r="BO269" s="67"/>
      <c r="BP269" s="67"/>
      <c r="BQ269" s="67"/>
      <c r="BR269" s="67"/>
      <c r="BS269" s="67"/>
      <c r="BT269" s="67"/>
      <c r="BU269" s="67"/>
      <c r="BV269" s="67"/>
      <c r="BW269" s="67"/>
      <c r="BX269" s="67"/>
      <c r="BY269" s="67"/>
      <c r="BZ269" s="67"/>
      <c r="CA269" s="67"/>
      <c r="CB269" s="67"/>
      <c r="CC269" s="67"/>
      <c r="CD269" s="67"/>
      <c r="CE269" s="67"/>
      <c r="CF269" s="67"/>
      <c r="CG269" s="67"/>
      <c r="CH269" s="67"/>
      <c r="CI269" s="67"/>
      <c r="CJ269" s="67"/>
      <c r="CK269" s="67"/>
      <c r="CL269" s="67"/>
      <c r="CM269" s="67"/>
      <c r="CN269" s="67"/>
      <c r="CO269" s="67"/>
      <c r="CP269" s="67"/>
      <c r="CQ269" s="67"/>
      <c r="CR269" s="67"/>
      <c r="CS269" s="67"/>
      <c r="CT269" s="67"/>
      <c r="CU269" s="67"/>
      <c r="CV269" s="67"/>
      <c r="CW269" s="67"/>
      <c r="CX269" s="67"/>
    </row>
    <row r="270" spans="16:102" s="123" customFormat="1" ht="14.5" x14ac:dyDescent="0.35">
      <c r="P270" s="146"/>
      <c r="Q270" s="146"/>
      <c r="R270" s="146"/>
      <c r="S270" s="146"/>
      <c r="T270" s="146"/>
      <c r="U270" s="146"/>
      <c r="V270" s="146"/>
      <c r="W270" s="146"/>
      <c r="X270" s="146"/>
      <c r="Y270" s="146"/>
      <c r="Z270" s="146"/>
      <c r="AA270" s="146"/>
      <c r="AB270" s="146" t="s">
        <v>231</v>
      </c>
      <c r="AC270" s="146"/>
      <c r="AD270" s="146"/>
      <c r="AE270" s="146"/>
      <c r="AF270" s="146"/>
      <c r="AG270" s="146"/>
      <c r="AH270" s="146"/>
      <c r="AI270" s="146"/>
      <c r="AJ270" s="146"/>
      <c r="AK270" s="146"/>
      <c r="AL270" s="146"/>
      <c r="AM270" s="146"/>
      <c r="AN270" s="146"/>
      <c r="AO270" s="146"/>
      <c r="AP270" s="146"/>
      <c r="AQ270" s="146"/>
      <c r="AR270" s="146"/>
      <c r="AS270" s="146"/>
      <c r="AT270" s="146"/>
      <c r="AU270" s="146"/>
      <c r="AV270" s="146"/>
      <c r="AW270" s="146"/>
      <c r="AX270" s="146"/>
      <c r="AY270" s="146"/>
      <c r="AZ270" s="146"/>
      <c r="BA270" s="146"/>
      <c r="BB270" s="146"/>
      <c r="BC270" s="146"/>
      <c r="BD270" s="146"/>
      <c r="BE270" s="146"/>
      <c r="BF270" s="146"/>
      <c r="BG270" s="146"/>
      <c r="BH270" s="146"/>
      <c r="BI270" s="146"/>
      <c r="BJ270" s="146"/>
      <c r="BK270" s="146"/>
      <c r="BL270" s="146"/>
      <c r="BM270" s="146"/>
      <c r="BN270" s="67"/>
      <c r="BO270" s="67"/>
      <c r="BP270" s="67"/>
      <c r="BQ270" s="67"/>
      <c r="BR270" s="67"/>
      <c r="BS270" s="67"/>
      <c r="BT270" s="67"/>
      <c r="BU270" s="67"/>
      <c r="BV270" s="67"/>
      <c r="BW270" s="67"/>
      <c r="BX270" s="67"/>
      <c r="BY270" s="67"/>
      <c r="BZ270" s="67"/>
      <c r="CA270" s="67"/>
      <c r="CB270" s="67"/>
      <c r="CC270" s="67"/>
      <c r="CD270" s="67"/>
      <c r="CE270" s="67"/>
      <c r="CF270" s="67"/>
      <c r="CG270" s="67"/>
      <c r="CH270" s="67"/>
      <c r="CI270" s="67"/>
      <c r="CJ270" s="67"/>
      <c r="CK270" s="67"/>
      <c r="CL270" s="67"/>
      <c r="CM270" s="67"/>
      <c r="CN270" s="67"/>
      <c r="CO270" s="67"/>
      <c r="CP270" s="67"/>
      <c r="CQ270" s="67"/>
      <c r="CR270" s="67"/>
      <c r="CS270" s="67"/>
      <c r="CT270" s="67"/>
      <c r="CU270" s="67"/>
      <c r="CV270" s="67"/>
      <c r="CW270" s="67"/>
      <c r="CX270" s="67"/>
    </row>
    <row r="271" spans="16:102" s="123" customFormat="1" ht="14.5" x14ac:dyDescent="0.35">
      <c r="P271" s="146"/>
      <c r="Q271" s="146"/>
      <c r="R271" s="146"/>
      <c r="S271" s="146"/>
      <c r="T271" s="146"/>
      <c r="U271" s="146"/>
      <c r="V271" s="146"/>
      <c r="W271" s="146"/>
      <c r="X271" s="146"/>
      <c r="Y271" s="146"/>
      <c r="Z271" s="146"/>
      <c r="AA271" s="146"/>
      <c r="AB271" s="146" t="s">
        <v>232</v>
      </c>
      <c r="AC271" s="146"/>
      <c r="AD271" s="146"/>
      <c r="AE271" s="146"/>
      <c r="AF271" s="146"/>
      <c r="AG271" s="146"/>
      <c r="AH271" s="146"/>
      <c r="AI271" s="146"/>
      <c r="AJ271" s="146"/>
      <c r="AK271" s="146"/>
      <c r="AL271" s="146"/>
      <c r="AM271" s="146"/>
      <c r="AN271" s="146"/>
      <c r="AO271" s="146"/>
      <c r="AP271" s="146"/>
      <c r="AQ271" s="146"/>
      <c r="AR271" s="146"/>
      <c r="AS271" s="146"/>
      <c r="AT271" s="146"/>
      <c r="AU271" s="146"/>
      <c r="AV271" s="146"/>
      <c r="AW271" s="146"/>
      <c r="AX271" s="146"/>
      <c r="AY271" s="146"/>
      <c r="AZ271" s="146"/>
      <c r="BA271" s="146"/>
      <c r="BB271" s="146"/>
      <c r="BC271" s="146"/>
      <c r="BD271" s="146"/>
      <c r="BE271" s="146"/>
      <c r="BF271" s="146"/>
      <c r="BG271" s="146"/>
      <c r="BH271" s="146"/>
      <c r="BI271" s="146"/>
      <c r="BJ271" s="146"/>
      <c r="BK271" s="146"/>
      <c r="BL271" s="146"/>
      <c r="BM271" s="146"/>
      <c r="BN271" s="67"/>
      <c r="BO271" s="67"/>
      <c r="BP271" s="67"/>
      <c r="BQ271" s="67"/>
      <c r="BR271" s="67"/>
      <c r="BS271" s="67"/>
      <c r="BT271" s="67"/>
      <c r="BU271" s="67"/>
      <c r="BV271" s="67"/>
      <c r="BW271" s="67"/>
      <c r="BX271" s="67"/>
      <c r="BY271" s="67"/>
      <c r="BZ271" s="67"/>
      <c r="CA271" s="67"/>
      <c r="CB271" s="67"/>
      <c r="CC271" s="67"/>
      <c r="CD271" s="67"/>
      <c r="CE271" s="67"/>
      <c r="CF271" s="67"/>
      <c r="CG271" s="67"/>
      <c r="CH271" s="67"/>
      <c r="CI271" s="67"/>
      <c r="CJ271" s="67"/>
      <c r="CK271" s="67"/>
      <c r="CL271" s="67"/>
      <c r="CM271" s="67"/>
      <c r="CN271" s="67"/>
      <c r="CO271" s="67"/>
      <c r="CP271" s="67"/>
      <c r="CQ271" s="67"/>
      <c r="CR271" s="67"/>
      <c r="CS271" s="67"/>
      <c r="CT271" s="67"/>
      <c r="CU271" s="67"/>
      <c r="CV271" s="67"/>
      <c r="CW271" s="67"/>
      <c r="CX271" s="67"/>
    </row>
    <row r="272" spans="16:102" s="123" customFormat="1" ht="14.5" x14ac:dyDescent="0.35">
      <c r="P272" s="146"/>
      <c r="Q272" s="146"/>
      <c r="R272" s="146"/>
      <c r="S272" s="146"/>
      <c r="T272" s="146"/>
      <c r="U272" s="146"/>
      <c r="V272" s="146"/>
      <c r="W272" s="146"/>
      <c r="X272" s="146"/>
      <c r="Y272" s="146"/>
      <c r="Z272" s="146"/>
      <c r="AA272" s="146"/>
      <c r="AB272" s="146" t="s">
        <v>233</v>
      </c>
      <c r="AC272" s="146"/>
      <c r="AD272" s="146"/>
      <c r="AE272" s="146"/>
      <c r="AF272" s="146"/>
      <c r="AG272" s="146"/>
      <c r="AH272" s="146"/>
      <c r="AI272" s="146"/>
      <c r="AJ272" s="146"/>
      <c r="AK272" s="146"/>
      <c r="AL272" s="146"/>
      <c r="AM272" s="146"/>
      <c r="AN272" s="146"/>
      <c r="AO272" s="146"/>
      <c r="AP272" s="146"/>
      <c r="AQ272" s="146"/>
      <c r="AR272" s="146"/>
      <c r="AS272" s="146"/>
      <c r="AT272" s="146"/>
      <c r="AU272" s="146"/>
      <c r="AV272" s="146"/>
      <c r="AW272" s="146"/>
      <c r="AX272" s="146"/>
      <c r="AY272" s="146"/>
      <c r="AZ272" s="146"/>
      <c r="BA272" s="146"/>
      <c r="BB272" s="146"/>
      <c r="BC272" s="146"/>
      <c r="BD272" s="146"/>
      <c r="BE272" s="146"/>
      <c r="BF272" s="146"/>
      <c r="BG272" s="146"/>
      <c r="BH272" s="146"/>
      <c r="BI272" s="146"/>
      <c r="BJ272" s="146"/>
      <c r="BK272" s="146"/>
      <c r="BL272" s="146"/>
      <c r="BM272" s="146"/>
      <c r="BN272" s="67"/>
      <c r="BO272" s="67"/>
      <c r="BP272" s="67"/>
      <c r="BQ272" s="67"/>
      <c r="BR272" s="67"/>
      <c r="BS272" s="67"/>
      <c r="BT272" s="67"/>
      <c r="BU272" s="67"/>
      <c r="BV272" s="67"/>
      <c r="BW272" s="67"/>
      <c r="BX272" s="67"/>
      <c r="BY272" s="67"/>
      <c r="BZ272" s="67"/>
      <c r="CA272" s="67"/>
      <c r="CB272" s="67"/>
      <c r="CC272" s="67"/>
      <c r="CD272" s="67"/>
      <c r="CE272" s="67"/>
      <c r="CF272" s="67"/>
      <c r="CG272" s="67"/>
      <c r="CH272" s="67"/>
      <c r="CI272" s="67"/>
      <c r="CJ272" s="67"/>
      <c r="CK272" s="67"/>
      <c r="CL272" s="67"/>
      <c r="CM272" s="67"/>
      <c r="CN272" s="67"/>
      <c r="CO272" s="67"/>
      <c r="CP272" s="67"/>
      <c r="CQ272" s="67"/>
      <c r="CR272" s="67"/>
      <c r="CS272" s="67"/>
      <c r="CT272" s="67"/>
      <c r="CU272" s="67"/>
      <c r="CV272" s="67"/>
      <c r="CW272" s="67"/>
      <c r="CX272" s="67"/>
    </row>
    <row r="273" spans="16:102" s="123" customFormat="1" ht="14.5" x14ac:dyDescent="0.35">
      <c r="P273" s="146"/>
      <c r="Q273" s="146"/>
      <c r="R273" s="146"/>
      <c r="S273" s="146"/>
      <c r="T273" s="146"/>
      <c r="U273" s="146"/>
      <c r="V273" s="146"/>
      <c r="W273" s="146"/>
      <c r="X273" s="146"/>
      <c r="Y273" s="146"/>
      <c r="Z273" s="146"/>
      <c r="AA273" s="146"/>
      <c r="AB273" s="146" t="s">
        <v>234</v>
      </c>
      <c r="AC273" s="146"/>
      <c r="AD273" s="146"/>
      <c r="AE273" s="146"/>
      <c r="AF273" s="146"/>
      <c r="AG273" s="146"/>
      <c r="AH273" s="146"/>
      <c r="AI273" s="146"/>
      <c r="AJ273" s="146"/>
      <c r="AK273" s="146"/>
      <c r="AL273" s="146"/>
      <c r="AM273" s="146"/>
      <c r="AN273" s="146"/>
      <c r="AO273" s="146"/>
      <c r="AP273" s="146"/>
      <c r="AQ273" s="146"/>
      <c r="AR273" s="146"/>
      <c r="AS273" s="146"/>
      <c r="AT273" s="146"/>
      <c r="AU273" s="146"/>
      <c r="AV273" s="146"/>
      <c r="AW273" s="146"/>
      <c r="AX273" s="146"/>
      <c r="AY273" s="146"/>
      <c r="AZ273" s="146"/>
      <c r="BA273" s="146"/>
      <c r="BB273" s="146"/>
      <c r="BC273" s="146"/>
      <c r="BD273" s="146"/>
      <c r="BE273" s="146"/>
      <c r="BF273" s="146"/>
      <c r="BG273" s="146"/>
      <c r="BH273" s="146"/>
      <c r="BI273" s="146"/>
      <c r="BJ273" s="146"/>
      <c r="BK273" s="146"/>
      <c r="BL273" s="146"/>
      <c r="BM273" s="146"/>
      <c r="BN273" s="67"/>
      <c r="BO273" s="67"/>
      <c r="BP273" s="67"/>
      <c r="BQ273" s="67"/>
      <c r="BR273" s="67"/>
      <c r="BS273" s="67"/>
      <c r="BT273" s="67"/>
      <c r="BU273" s="67"/>
      <c r="BV273" s="67"/>
      <c r="BW273" s="67"/>
      <c r="BX273" s="67"/>
      <c r="BY273" s="67"/>
      <c r="BZ273" s="67"/>
      <c r="CA273" s="67"/>
      <c r="CB273" s="67"/>
      <c r="CC273" s="67"/>
      <c r="CD273" s="67"/>
      <c r="CE273" s="67"/>
      <c r="CF273" s="67"/>
      <c r="CG273" s="67"/>
      <c r="CH273" s="67"/>
      <c r="CI273" s="67"/>
      <c r="CJ273" s="67"/>
      <c r="CK273" s="67"/>
      <c r="CL273" s="67"/>
      <c r="CM273" s="67"/>
      <c r="CN273" s="67"/>
      <c r="CO273" s="67"/>
      <c r="CP273" s="67"/>
      <c r="CQ273" s="67"/>
      <c r="CR273" s="67"/>
      <c r="CS273" s="67"/>
      <c r="CT273" s="67"/>
      <c r="CU273" s="67"/>
      <c r="CV273" s="67"/>
      <c r="CW273" s="67"/>
      <c r="CX273" s="67"/>
    </row>
    <row r="274" spans="16:102" s="123" customFormat="1" ht="14.5" x14ac:dyDescent="0.35">
      <c r="P274" s="146"/>
      <c r="Q274" s="146"/>
      <c r="R274" s="146"/>
      <c r="S274" s="146"/>
      <c r="T274" s="146"/>
      <c r="U274" s="146"/>
      <c r="V274" s="146"/>
      <c r="W274" s="146"/>
      <c r="X274" s="146"/>
      <c r="Y274" s="146"/>
      <c r="Z274" s="146"/>
      <c r="AA274" s="146"/>
      <c r="AB274" s="146" t="s">
        <v>235</v>
      </c>
      <c r="AC274" s="146"/>
      <c r="AD274" s="146"/>
      <c r="AE274" s="146"/>
      <c r="AF274" s="146"/>
      <c r="AG274" s="146"/>
      <c r="AH274" s="146"/>
      <c r="AI274" s="146"/>
      <c r="AJ274" s="146"/>
      <c r="AK274" s="146"/>
      <c r="AL274" s="146"/>
      <c r="AM274" s="146"/>
      <c r="AN274" s="146"/>
      <c r="AO274" s="146"/>
      <c r="AP274" s="146"/>
      <c r="AQ274" s="146"/>
      <c r="AR274" s="146"/>
      <c r="AS274" s="146"/>
      <c r="AT274" s="146"/>
      <c r="AU274" s="146"/>
      <c r="AV274" s="146"/>
      <c r="AW274" s="146"/>
      <c r="AX274" s="146"/>
      <c r="AY274" s="146"/>
      <c r="AZ274" s="146"/>
      <c r="BA274" s="146"/>
      <c r="BB274" s="146"/>
      <c r="BC274" s="146"/>
      <c r="BD274" s="146"/>
      <c r="BE274" s="146"/>
      <c r="BF274" s="146"/>
      <c r="BG274" s="146"/>
      <c r="BH274" s="146"/>
      <c r="BI274" s="146"/>
      <c r="BJ274" s="146"/>
      <c r="BK274" s="146"/>
      <c r="BL274" s="146"/>
      <c r="BM274" s="146"/>
      <c r="BN274" s="67"/>
      <c r="BO274" s="67"/>
      <c r="BP274" s="67"/>
      <c r="BQ274" s="67"/>
      <c r="BR274" s="67"/>
      <c r="BS274" s="67"/>
      <c r="BT274" s="67"/>
      <c r="BU274" s="67"/>
      <c r="BV274" s="67"/>
      <c r="BW274" s="67"/>
      <c r="BX274" s="67"/>
      <c r="BY274" s="67"/>
      <c r="BZ274" s="67"/>
      <c r="CA274" s="67"/>
      <c r="CB274" s="67"/>
      <c r="CC274" s="67"/>
      <c r="CD274" s="67"/>
      <c r="CE274" s="67"/>
      <c r="CF274" s="67"/>
      <c r="CG274" s="67"/>
      <c r="CH274" s="67"/>
      <c r="CI274" s="67"/>
      <c r="CJ274" s="67"/>
      <c r="CK274" s="67"/>
      <c r="CL274" s="67"/>
      <c r="CM274" s="67"/>
      <c r="CN274" s="67"/>
      <c r="CO274" s="67"/>
      <c r="CP274" s="67"/>
      <c r="CQ274" s="67"/>
      <c r="CR274" s="67"/>
      <c r="CS274" s="67"/>
      <c r="CT274" s="67"/>
      <c r="CU274" s="67"/>
      <c r="CV274" s="67"/>
      <c r="CW274" s="67"/>
      <c r="CX274" s="67"/>
    </row>
    <row r="275" spans="16:102" s="123" customFormat="1" ht="14.5" x14ac:dyDescent="0.35">
      <c r="P275" s="146"/>
      <c r="Q275" s="146"/>
      <c r="R275" s="146"/>
      <c r="S275" s="146"/>
      <c r="T275" s="146"/>
      <c r="U275" s="146"/>
      <c r="V275" s="146"/>
      <c r="W275" s="146"/>
      <c r="X275" s="146"/>
      <c r="Y275" s="146"/>
      <c r="Z275" s="146"/>
      <c r="AA275" s="146"/>
      <c r="AB275" s="146" t="s">
        <v>236</v>
      </c>
      <c r="AC275" s="146"/>
      <c r="AD275" s="146"/>
      <c r="AE275" s="146"/>
      <c r="AF275" s="146"/>
      <c r="AG275" s="146"/>
      <c r="AH275" s="146"/>
      <c r="AI275" s="146"/>
      <c r="AJ275" s="146"/>
      <c r="AK275" s="146"/>
      <c r="AL275" s="146"/>
      <c r="AM275" s="146"/>
      <c r="AN275" s="146"/>
      <c r="AO275" s="146"/>
      <c r="AP275" s="146"/>
      <c r="AQ275" s="146"/>
      <c r="AR275" s="146"/>
      <c r="AS275" s="146"/>
      <c r="AT275" s="146"/>
      <c r="AU275" s="146"/>
      <c r="AV275" s="146"/>
      <c r="AW275" s="146"/>
      <c r="AX275" s="146"/>
      <c r="AY275" s="146"/>
      <c r="AZ275" s="146"/>
      <c r="BA275" s="146"/>
      <c r="BB275" s="146"/>
      <c r="BC275" s="146"/>
      <c r="BD275" s="146"/>
      <c r="BE275" s="146"/>
      <c r="BF275" s="146"/>
      <c r="BG275" s="146"/>
      <c r="BH275" s="146"/>
      <c r="BI275" s="146"/>
      <c r="BJ275" s="146"/>
      <c r="BK275" s="146"/>
      <c r="BL275" s="146"/>
      <c r="BM275" s="146"/>
      <c r="BN275" s="67"/>
      <c r="BO275" s="67"/>
      <c r="BP275" s="67"/>
      <c r="BQ275" s="67"/>
      <c r="BR275" s="67"/>
      <c r="BS275" s="67"/>
      <c r="BT275" s="67"/>
      <c r="BU275" s="67"/>
      <c r="BV275" s="67"/>
      <c r="BW275" s="67"/>
      <c r="BX275" s="67"/>
      <c r="BY275" s="67"/>
      <c r="BZ275" s="67"/>
      <c r="CA275" s="67"/>
      <c r="CB275" s="67"/>
      <c r="CC275" s="67"/>
      <c r="CD275" s="67"/>
      <c r="CE275" s="67"/>
      <c r="CF275" s="67"/>
      <c r="CG275" s="67"/>
      <c r="CH275" s="67"/>
      <c r="CI275" s="67"/>
      <c r="CJ275" s="67"/>
      <c r="CK275" s="67"/>
      <c r="CL275" s="67"/>
      <c r="CM275" s="67"/>
      <c r="CN275" s="67"/>
      <c r="CO275" s="67"/>
      <c r="CP275" s="67"/>
      <c r="CQ275" s="67"/>
      <c r="CR275" s="67"/>
      <c r="CS275" s="67"/>
      <c r="CT275" s="67"/>
      <c r="CU275" s="67"/>
      <c r="CV275" s="67"/>
      <c r="CW275" s="67"/>
      <c r="CX275" s="67"/>
    </row>
    <row r="276" spans="16:102" s="123" customFormat="1" ht="14.5" x14ac:dyDescent="0.35">
      <c r="P276" s="146"/>
      <c r="Q276" s="146"/>
      <c r="R276" s="146"/>
      <c r="S276" s="146"/>
      <c r="T276" s="146"/>
      <c r="U276" s="146"/>
      <c r="V276" s="146"/>
      <c r="W276" s="146"/>
      <c r="X276" s="146"/>
      <c r="Y276" s="146"/>
      <c r="Z276" s="146"/>
      <c r="AA276" s="146"/>
      <c r="AB276" s="146" t="s">
        <v>237</v>
      </c>
      <c r="AC276" s="146"/>
      <c r="AD276" s="146"/>
      <c r="AE276" s="146"/>
      <c r="AF276" s="146"/>
      <c r="AG276" s="146"/>
      <c r="AH276" s="146"/>
      <c r="AI276" s="146"/>
      <c r="AJ276" s="146"/>
      <c r="AK276" s="146"/>
      <c r="AL276" s="146"/>
      <c r="AM276" s="146"/>
      <c r="AN276" s="146"/>
      <c r="AO276" s="146"/>
      <c r="AP276" s="146"/>
      <c r="AQ276" s="146"/>
      <c r="AR276" s="146"/>
      <c r="AS276" s="146"/>
      <c r="AT276" s="146"/>
      <c r="AU276" s="146"/>
      <c r="AV276" s="146"/>
      <c r="AW276" s="146"/>
      <c r="AX276" s="146"/>
      <c r="AY276" s="146"/>
      <c r="AZ276" s="146"/>
      <c r="BA276" s="146"/>
      <c r="BB276" s="146"/>
      <c r="BC276" s="146"/>
      <c r="BD276" s="146"/>
      <c r="BE276" s="146"/>
      <c r="BF276" s="146"/>
      <c r="BG276" s="146"/>
      <c r="BH276" s="146"/>
      <c r="BI276" s="146"/>
      <c r="BJ276" s="146"/>
      <c r="BK276" s="146"/>
      <c r="BL276" s="146"/>
      <c r="BM276" s="146"/>
      <c r="BN276" s="67"/>
      <c r="BO276" s="67"/>
      <c r="BP276" s="67"/>
      <c r="BQ276" s="67"/>
      <c r="BR276" s="67"/>
      <c r="BS276" s="67"/>
      <c r="BT276" s="67"/>
      <c r="BU276" s="67"/>
      <c r="BV276" s="67"/>
      <c r="BW276" s="67"/>
      <c r="BX276" s="67"/>
      <c r="BY276" s="67"/>
      <c r="BZ276" s="67"/>
      <c r="CA276" s="67"/>
      <c r="CB276" s="67"/>
      <c r="CC276" s="67"/>
      <c r="CD276" s="67"/>
      <c r="CE276" s="67"/>
      <c r="CF276" s="67"/>
      <c r="CG276" s="67"/>
      <c r="CH276" s="67"/>
      <c r="CI276" s="67"/>
      <c r="CJ276" s="67"/>
      <c r="CK276" s="67"/>
      <c r="CL276" s="67"/>
      <c r="CM276" s="67"/>
      <c r="CN276" s="67"/>
      <c r="CO276" s="67"/>
      <c r="CP276" s="67"/>
      <c r="CQ276" s="67"/>
      <c r="CR276" s="67"/>
      <c r="CS276" s="67"/>
      <c r="CT276" s="67"/>
      <c r="CU276" s="67"/>
      <c r="CV276" s="67"/>
      <c r="CW276" s="67"/>
      <c r="CX276" s="67"/>
    </row>
    <row r="277" spans="16:102" s="123" customFormat="1" ht="14.5" x14ac:dyDescent="0.35">
      <c r="P277" s="146"/>
      <c r="Q277" s="146"/>
      <c r="R277" s="146"/>
      <c r="S277" s="146"/>
      <c r="T277" s="146"/>
      <c r="U277" s="146"/>
      <c r="V277" s="146"/>
      <c r="W277" s="146"/>
      <c r="X277" s="146"/>
      <c r="Y277" s="146"/>
      <c r="Z277" s="146"/>
      <c r="AA277" s="146"/>
      <c r="AB277" s="146" t="s">
        <v>238</v>
      </c>
      <c r="AC277" s="146"/>
      <c r="AD277" s="146"/>
      <c r="AE277" s="146"/>
      <c r="AF277" s="146"/>
      <c r="AG277" s="146"/>
      <c r="AH277" s="146"/>
      <c r="AI277" s="146"/>
      <c r="AJ277" s="146"/>
      <c r="AK277" s="146"/>
      <c r="AL277" s="146"/>
      <c r="AM277" s="146"/>
      <c r="AN277" s="146"/>
      <c r="AO277" s="146"/>
      <c r="AP277" s="146"/>
      <c r="AQ277" s="146"/>
      <c r="AR277" s="146"/>
      <c r="AS277" s="146"/>
      <c r="AT277" s="146"/>
      <c r="AU277" s="146"/>
      <c r="AV277" s="146"/>
      <c r="AW277" s="146"/>
      <c r="AX277" s="146"/>
      <c r="AY277" s="146"/>
      <c r="AZ277" s="146"/>
      <c r="BA277" s="146"/>
      <c r="BB277" s="146"/>
      <c r="BC277" s="146"/>
      <c r="BD277" s="146"/>
      <c r="BE277" s="146"/>
      <c r="BF277" s="146"/>
      <c r="BG277" s="146"/>
      <c r="BH277" s="146"/>
      <c r="BI277" s="146"/>
      <c r="BJ277" s="146"/>
      <c r="BK277" s="146"/>
      <c r="BL277" s="146"/>
      <c r="BM277" s="146"/>
      <c r="BN277" s="67"/>
      <c r="BO277" s="67"/>
      <c r="BP277" s="67"/>
      <c r="BQ277" s="67"/>
      <c r="BR277" s="67"/>
      <c r="BS277" s="67"/>
      <c r="BT277" s="67"/>
      <c r="BU277" s="67"/>
      <c r="BV277" s="67"/>
      <c r="BW277" s="67"/>
      <c r="BX277" s="67"/>
      <c r="BY277" s="67"/>
      <c r="BZ277" s="67"/>
      <c r="CA277" s="67"/>
      <c r="CB277" s="67"/>
      <c r="CC277" s="67"/>
      <c r="CD277" s="67"/>
      <c r="CE277" s="67"/>
      <c r="CF277" s="67"/>
      <c r="CG277" s="67"/>
      <c r="CH277" s="67"/>
      <c r="CI277" s="67"/>
      <c r="CJ277" s="67"/>
      <c r="CK277" s="67"/>
      <c r="CL277" s="67"/>
      <c r="CM277" s="67"/>
      <c r="CN277" s="67"/>
      <c r="CO277" s="67"/>
      <c r="CP277" s="67"/>
      <c r="CQ277" s="67"/>
      <c r="CR277" s="67"/>
      <c r="CS277" s="67"/>
      <c r="CT277" s="67"/>
      <c r="CU277" s="67"/>
      <c r="CV277" s="67"/>
      <c r="CW277" s="67"/>
      <c r="CX277" s="67"/>
    </row>
    <row r="278" spans="16:102" s="123" customFormat="1" ht="14.5" x14ac:dyDescent="0.35">
      <c r="P278" s="146"/>
      <c r="Q278" s="146"/>
      <c r="R278" s="146"/>
      <c r="S278" s="146"/>
      <c r="T278" s="146"/>
      <c r="U278" s="146"/>
      <c r="V278" s="146"/>
      <c r="W278" s="146"/>
      <c r="X278" s="146"/>
      <c r="Y278" s="146"/>
      <c r="Z278" s="146"/>
      <c r="AA278" s="146"/>
      <c r="AB278" s="146" t="s">
        <v>239</v>
      </c>
      <c r="AC278" s="146"/>
      <c r="AD278" s="146"/>
      <c r="AE278" s="146"/>
      <c r="AF278" s="146"/>
      <c r="AG278" s="146"/>
      <c r="AH278" s="146"/>
      <c r="AI278" s="146"/>
      <c r="AJ278" s="146"/>
      <c r="AK278" s="146"/>
      <c r="AL278" s="146"/>
      <c r="AM278" s="146"/>
      <c r="AN278" s="146"/>
      <c r="AO278" s="146"/>
      <c r="AP278" s="146"/>
      <c r="AQ278" s="146"/>
      <c r="AR278" s="146"/>
      <c r="AS278" s="146"/>
      <c r="AT278" s="146"/>
      <c r="AU278" s="146"/>
      <c r="AV278" s="146"/>
      <c r="AW278" s="146"/>
      <c r="AX278" s="146"/>
      <c r="AY278" s="146"/>
      <c r="AZ278" s="146"/>
      <c r="BA278" s="146"/>
      <c r="BB278" s="146"/>
      <c r="BC278" s="146"/>
      <c r="BD278" s="146"/>
      <c r="BE278" s="146"/>
      <c r="BF278" s="146"/>
      <c r="BG278" s="146"/>
      <c r="BH278" s="146"/>
      <c r="BI278" s="146"/>
      <c r="BJ278" s="146"/>
      <c r="BK278" s="146"/>
      <c r="BL278" s="146"/>
      <c r="BM278" s="146"/>
      <c r="BN278" s="67"/>
      <c r="BO278" s="67"/>
      <c r="BP278" s="67"/>
      <c r="BQ278" s="67"/>
      <c r="BR278" s="67"/>
      <c r="BS278" s="67"/>
      <c r="BT278" s="67"/>
      <c r="BU278" s="67"/>
      <c r="BV278" s="67"/>
      <c r="BW278" s="67"/>
      <c r="BX278" s="67"/>
      <c r="BY278" s="67"/>
      <c r="BZ278" s="67"/>
      <c r="CA278" s="67"/>
      <c r="CB278" s="67"/>
      <c r="CC278" s="67"/>
      <c r="CD278" s="67"/>
      <c r="CE278" s="67"/>
      <c r="CF278" s="67"/>
      <c r="CG278" s="67"/>
      <c r="CH278" s="67"/>
      <c r="CI278" s="67"/>
      <c r="CJ278" s="67"/>
      <c r="CK278" s="67"/>
      <c r="CL278" s="67"/>
      <c r="CM278" s="67"/>
      <c r="CN278" s="67"/>
      <c r="CO278" s="67"/>
      <c r="CP278" s="67"/>
      <c r="CQ278" s="67"/>
      <c r="CR278" s="67"/>
      <c r="CS278" s="67"/>
      <c r="CT278" s="67"/>
      <c r="CU278" s="67"/>
      <c r="CV278" s="67"/>
      <c r="CW278" s="67"/>
      <c r="CX278" s="67"/>
    </row>
    <row r="279" spans="16:102" s="123" customFormat="1" ht="14.5" x14ac:dyDescent="0.35">
      <c r="P279" s="146"/>
      <c r="Q279" s="146"/>
      <c r="R279" s="146"/>
      <c r="S279" s="146"/>
      <c r="T279" s="146"/>
      <c r="U279" s="146"/>
      <c r="V279" s="146"/>
      <c r="W279" s="146"/>
      <c r="X279" s="146"/>
      <c r="Y279" s="146"/>
      <c r="Z279" s="146"/>
      <c r="AA279" s="146"/>
      <c r="AB279" s="146" t="s">
        <v>134</v>
      </c>
      <c r="AC279" s="146"/>
      <c r="AD279" s="146"/>
      <c r="AE279" s="146"/>
      <c r="AF279" s="146"/>
      <c r="AG279" s="146"/>
      <c r="AH279" s="146"/>
      <c r="AI279" s="146"/>
      <c r="AJ279" s="146"/>
      <c r="AK279" s="146"/>
      <c r="AL279" s="146"/>
      <c r="AM279" s="146"/>
      <c r="AN279" s="146"/>
      <c r="AO279" s="146"/>
      <c r="AP279" s="146"/>
      <c r="AQ279" s="146"/>
      <c r="AR279" s="146"/>
      <c r="AS279" s="146"/>
      <c r="AT279" s="146"/>
      <c r="AU279" s="146"/>
      <c r="AV279" s="146"/>
      <c r="AW279" s="146"/>
      <c r="AX279" s="146"/>
      <c r="AY279" s="146"/>
      <c r="AZ279" s="146"/>
      <c r="BA279" s="146"/>
      <c r="BB279" s="146"/>
      <c r="BC279" s="146"/>
      <c r="BD279" s="146"/>
      <c r="BE279" s="146"/>
      <c r="BF279" s="146"/>
      <c r="BG279" s="146"/>
      <c r="BH279" s="146"/>
      <c r="BI279" s="146"/>
      <c r="BJ279" s="146"/>
      <c r="BK279" s="146"/>
      <c r="BL279" s="146"/>
      <c r="BM279" s="146"/>
      <c r="BN279" s="67"/>
      <c r="BO279" s="67"/>
      <c r="BP279" s="67"/>
      <c r="BQ279" s="67"/>
      <c r="BR279" s="67"/>
      <c r="BS279" s="67"/>
      <c r="BT279" s="67"/>
      <c r="BU279" s="67"/>
      <c r="BV279" s="67"/>
      <c r="BW279" s="67"/>
      <c r="BX279" s="67"/>
      <c r="BY279" s="67"/>
      <c r="BZ279" s="67"/>
      <c r="CA279" s="67"/>
      <c r="CB279" s="67"/>
      <c r="CC279" s="67"/>
      <c r="CD279" s="67"/>
      <c r="CE279" s="67"/>
      <c r="CF279" s="67"/>
      <c r="CG279" s="67"/>
      <c r="CH279" s="67"/>
      <c r="CI279" s="67"/>
      <c r="CJ279" s="67"/>
      <c r="CK279" s="67"/>
      <c r="CL279" s="67"/>
      <c r="CM279" s="67"/>
      <c r="CN279" s="67"/>
      <c r="CO279" s="67"/>
      <c r="CP279" s="67"/>
      <c r="CQ279" s="67"/>
      <c r="CR279" s="67"/>
      <c r="CS279" s="67"/>
      <c r="CT279" s="67"/>
      <c r="CU279" s="67"/>
      <c r="CV279" s="67"/>
      <c r="CW279" s="67"/>
      <c r="CX279" s="67"/>
    </row>
    <row r="280" spans="16:102" s="123" customFormat="1" ht="14.5" x14ac:dyDescent="0.35">
      <c r="P280" s="146"/>
      <c r="Q280" s="146"/>
      <c r="R280" s="146"/>
      <c r="S280" s="146"/>
      <c r="T280" s="146"/>
      <c r="U280" s="146"/>
      <c r="V280" s="146"/>
      <c r="W280" s="146"/>
      <c r="X280" s="146"/>
      <c r="Y280" s="146"/>
      <c r="Z280" s="146"/>
      <c r="AA280" s="146"/>
      <c r="AB280" s="146" t="s">
        <v>240</v>
      </c>
      <c r="AC280" s="146"/>
      <c r="AD280" s="146"/>
      <c r="AE280" s="146"/>
      <c r="AF280" s="146"/>
      <c r="AG280" s="146"/>
      <c r="AH280" s="146"/>
      <c r="AI280" s="146"/>
      <c r="AJ280" s="146"/>
      <c r="AK280" s="146"/>
      <c r="AL280" s="146"/>
      <c r="AM280" s="146"/>
      <c r="AN280" s="146"/>
      <c r="AO280" s="146"/>
      <c r="AP280" s="146"/>
      <c r="AQ280" s="146"/>
      <c r="AR280" s="146"/>
      <c r="AS280" s="146"/>
      <c r="AT280" s="146"/>
      <c r="AU280" s="146"/>
      <c r="AV280" s="146"/>
      <c r="AW280" s="146"/>
      <c r="AX280" s="146"/>
      <c r="AY280" s="146"/>
      <c r="AZ280" s="146"/>
      <c r="BA280" s="146"/>
      <c r="BB280" s="146"/>
      <c r="BC280" s="146"/>
      <c r="BD280" s="146"/>
      <c r="BE280" s="146"/>
      <c r="BF280" s="146"/>
      <c r="BG280" s="146"/>
      <c r="BH280" s="146"/>
      <c r="BI280" s="146"/>
      <c r="BJ280" s="146"/>
      <c r="BK280" s="146"/>
      <c r="BL280" s="146"/>
      <c r="BM280" s="146"/>
      <c r="BN280" s="67"/>
      <c r="BO280" s="67"/>
      <c r="BP280" s="67"/>
      <c r="BQ280" s="67"/>
      <c r="BR280" s="67"/>
      <c r="BS280" s="67"/>
      <c r="BT280" s="67"/>
      <c r="BU280" s="67"/>
      <c r="BV280" s="67"/>
      <c r="BW280" s="67"/>
      <c r="BX280" s="67"/>
      <c r="BY280" s="67"/>
      <c r="BZ280" s="67"/>
      <c r="CA280" s="67"/>
      <c r="CB280" s="67"/>
      <c r="CC280" s="67"/>
      <c r="CD280" s="67"/>
      <c r="CE280" s="67"/>
      <c r="CF280" s="67"/>
      <c r="CG280" s="67"/>
      <c r="CH280" s="67"/>
      <c r="CI280" s="67"/>
      <c r="CJ280" s="67"/>
      <c r="CK280" s="67"/>
      <c r="CL280" s="67"/>
      <c r="CM280" s="67"/>
      <c r="CN280" s="67"/>
      <c r="CO280" s="67"/>
      <c r="CP280" s="67"/>
      <c r="CQ280" s="67"/>
      <c r="CR280" s="67"/>
      <c r="CS280" s="67"/>
      <c r="CT280" s="67"/>
      <c r="CU280" s="67"/>
      <c r="CV280" s="67"/>
      <c r="CW280" s="67"/>
      <c r="CX280" s="67"/>
    </row>
    <row r="281" spans="16:102" s="123" customFormat="1" ht="14.5" x14ac:dyDescent="0.35">
      <c r="P281" s="146"/>
      <c r="Q281" s="146"/>
      <c r="R281" s="146"/>
      <c r="S281" s="146"/>
      <c r="T281" s="146"/>
      <c r="U281" s="146"/>
      <c r="V281" s="146"/>
      <c r="W281" s="146"/>
      <c r="X281" s="146"/>
      <c r="Y281" s="146"/>
      <c r="Z281" s="146"/>
      <c r="AA281" s="146"/>
      <c r="AB281" s="146" t="s">
        <v>241</v>
      </c>
      <c r="AC281" s="146"/>
      <c r="AD281" s="146"/>
      <c r="AE281" s="146"/>
      <c r="AF281" s="146"/>
      <c r="AG281" s="146"/>
      <c r="AH281" s="146"/>
      <c r="AI281" s="146"/>
      <c r="AJ281" s="146"/>
      <c r="AK281" s="146"/>
      <c r="AL281" s="146"/>
      <c r="AM281" s="146"/>
      <c r="AN281" s="146"/>
      <c r="AO281" s="146"/>
      <c r="AP281" s="146"/>
      <c r="AQ281" s="146"/>
      <c r="AR281" s="146"/>
      <c r="AS281" s="146"/>
      <c r="AT281" s="146"/>
      <c r="AU281" s="146"/>
      <c r="AV281" s="146"/>
      <c r="AW281" s="146"/>
      <c r="AX281" s="146"/>
      <c r="AY281" s="146"/>
      <c r="AZ281" s="146"/>
      <c r="BA281" s="146"/>
      <c r="BB281" s="146"/>
      <c r="BC281" s="146"/>
      <c r="BD281" s="146"/>
      <c r="BE281" s="146"/>
      <c r="BF281" s="146"/>
      <c r="BG281" s="146"/>
      <c r="BH281" s="146"/>
      <c r="BI281" s="146"/>
      <c r="BJ281" s="146"/>
      <c r="BK281" s="146"/>
      <c r="BL281" s="146"/>
      <c r="BM281" s="146"/>
      <c r="BN281" s="67"/>
      <c r="BO281" s="67"/>
      <c r="BP281" s="67"/>
      <c r="BQ281" s="67"/>
      <c r="BR281" s="67"/>
      <c r="BS281" s="67"/>
      <c r="BT281" s="67"/>
      <c r="BU281" s="67"/>
      <c r="BV281" s="67"/>
      <c r="BW281" s="67"/>
      <c r="BX281" s="67"/>
      <c r="BY281" s="67"/>
      <c r="BZ281" s="67"/>
      <c r="CA281" s="67"/>
      <c r="CB281" s="67"/>
      <c r="CC281" s="67"/>
      <c r="CD281" s="67"/>
      <c r="CE281" s="67"/>
      <c r="CF281" s="67"/>
      <c r="CG281" s="67"/>
      <c r="CH281" s="67"/>
      <c r="CI281" s="67"/>
      <c r="CJ281" s="67"/>
      <c r="CK281" s="67"/>
      <c r="CL281" s="67"/>
      <c r="CM281" s="67"/>
      <c r="CN281" s="67"/>
      <c r="CO281" s="67"/>
      <c r="CP281" s="67"/>
      <c r="CQ281" s="67"/>
      <c r="CR281" s="67"/>
      <c r="CS281" s="67"/>
      <c r="CT281" s="67"/>
      <c r="CU281" s="67"/>
      <c r="CV281" s="67"/>
      <c r="CW281" s="67"/>
      <c r="CX281" s="67"/>
    </row>
    <row r="282" spans="16:102" s="123" customFormat="1" ht="14.5" x14ac:dyDescent="0.35">
      <c r="P282" s="146"/>
      <c r="Q282" s="146"/>
      <c r="R282" s="146"/>
      <c r="S282" s="146"/>
      <c r="T282" s="146"/>
      <c r="U282" s="146"/>
      <c r="V282" s="146"/>
      <c r="W282" s="146"/>
      <c r="X282" s="146"/>
      <c r="Y282" s="146"/>
      <c r="Z282" s="146"/>
      <c r="AA282" s="146"/>
      <c r="AB282" s="146" t="s">
        <v>242</v>
      </c>
      <c r="AC282" s="146"/>
      <c r="AD282" s="146"/>
      <c r="AE282" s="146"/>
      <c r="AF282" s="146"/>
      <c r="AG282" s="146"/>
      <c r="AH282" s="146"/>
      <c r="AI282" s="146"/>
      <c r="AJ282" s="146"/>
      <c r="AK282" s="146"/>
      <c r="AL282" s="146"/>
      <c r="AM282" s="146"/>
      <c r="AN282" s="146"/>
      <c r="AO282" s="146"/>
      <c r="AP282" s="146"/>
      <c r="AQ282" s="146"/>
      <c r="AR282" s="146"/>
      <c r="AS282" s="146"/>
      <c r="AT282" s="146"/>
      <c r="AU282" s="146"/>
      <c r="AV282" s="146"/>
      <c r="AW282" s="146"/>
      <c r="AX282" s="146"/>
      <c r="AY282" s="146"/>
      <c r="AZ282" s="146"/>
      <c r="BA282" s="146"/>
      <c r="BB282" s="146"/>
      <c r="BC282" s="146"/>
      <c r="BD282" s="146"/>
      <c r="BE282" s="146"/>
      <c r="BF282" s="146"/>
      <c r="BG282" s="146"/>
      <c r="BH282" s="146"/>
      <c r="BI282" s="146"/>
      <c r="BJ282" s="146"/>
      <c r="BK282" s="146"/>
      <c r="BL282" s="146"/>
      <c r="BM282" s="146"/>
      <c r="BN282" s="67"/>
      <c r="BO282" s="67"/>
      <c r="BP282" s="67"/>
      <c r="BQ282" s="67"/>
      <c r="BR282" s="67"/>
      <c r="BS282" s="67"/>
      <c r="BT282" s="67"/>
      <c r="BU282" s="67"/>
      <c r="BV282" s="67"/>
      <c r="BW282" s="67"/>
      <c r="BX282" s="67"/>
      <c r="BY282" s="67"/>
      <c r="BZ282" s="67"/>
      <c r="CA282" s="67"/>
      <c r="CB282" s="67"/>
      <c r="CC282" s="67"/>
      <c r="CD282" s="67"/>
      <c r="CE282" s="67"/>
      <c r="CF282" s="67"/>
      <c r="CG282" s="67"/>
      <c r="CH282" s="67"/>
      <c r="CI282" s="67"/>
      <c r="CJ282" s="67"/>
      <c r="CK282" s="67"/>
      <c r="CL282" s="67"/>
      <c r="CM282" s="67"/>
      <c r="CN282" s="67"/>
      <c r="CO282" s="67"/>
      <c r="CP282" s="67"/>
      <c r="CQ282" s="67"/>
      <c r="CR282" s="67"/>
      <c r="CS282" s="67"/>
      <c r="CT282" s="67"/>
      <c r="CU282" s="67"/>
      <c r="CV282" s="67"/>
      <c r="CW282" s="67"/>
      <c r="CX282" s="67"/>
    </row>
    <row r="283" spans="16:102" s="123" customFormat="1" ht="14.5" x14ac:dyDescent="0.35">
      <c r="P283" s="146"/>
      <c r="Q283" s="146"/>
      <c r="R283" s="146"/>
      <c r="S283" s="146"/>
      <c r="T283" s="146"/>
      <c r="U283" s="146"/>
      <c r="V283" s="146"/>
      <c r="W283" s="146"/>
      <c r="X283" s="146"/>
      <c r="Y283" s="146"/>
      <c r="Z283" s="146"/>
      <c r="AA283" s="146"/>
      <c r="AB283" s="146" t="s">
        <v>243</v>
      </c>
      <c r="AC283" s="146"/>
      <c r="AD283" s="146"/>
      <c r="AE283" s="146"/>
      <c r="AF283" s="146"/>
      <c r="AG283" s="146"/>
      <c r="AH283" s="146"/>
      <c r="AI283" s="146"/>
      <c r="AJ283" s="146"/>
      <c r="AK283" s="146"/>
      <c r="AL283" s="146"/>
      <c r="AM283" s="146"/>
      <c r="AN283" s="146"/>
      <c r="AO283" s="146"/>
      <c r="AP283" s="146"/>
      <c r="AQ283" s="146"/>
      <c r="AR283" s="146"/>
      <c r="AS283" s="146"/>
      <c r="AT283" s="146"/>
      <c r="AU283" s="146"/>
      <c r="AV283" s="146"/>
      <c r="AW283" s="146"/>
      <c r="AX283" s="146"/>
      <c r="AY283" s="146"/>
      <c r="AZ283" s="146"/>
      <c r="BA283" s="146"/>
      <c r="BB283" s="146"/>
      <c r="BC283" s="146"/>
      <c r="BD283" s="146"/>
      <c r="BE283" s="146"/>
      <c r="BF283" s="146"/>
      <c r="BG283" s="146"/>
      <c r="BH283" s="146"/>
      <c r="BI283" s="146"/>
      <c r="BJ283" s="146"/>
      <c r="BK283" s="146"/>
      <c r="BL283" s="146"/>
      <c r="BM283" s="146"/>
      <c r="BN283" s="67"/>
      <c r="BO283" s="67"/>
      <c r="BP283" s="67"/>
      <c r="BQ283" s="67"/>
      <c r="BR283" s="67"/>
      <c r="BS283" s="67"/>
      <c r="BT283" s="67"/>
      <c r="BU283" s="67"/>
      <c r="BV283" s="67"/>
      <c r="BW283" s="67"/>
      <c r="BX283" s="67"/>
      <c r="BY283" s="67"/>
      <c r="BZ283" s="67"/>
      <c r="CA283" s="67"/>
      <c r="CB283" s="67"/>
      <c r="CC283" s="67"/>
      <c r="CD283" s="67"/>
      <c r="CE283" s="67"/>
      <c r="CF283" s="67"/>
      <c r="CG283" s="67"/>
      <c r="CH283" s="67"/>
      <c r="CI283" s="67"/>
      <c r="CJ283" s="67"/>
      <c r="CK283" s="67"/>
      <c r="CL283" s="67"/>
      <c r="CM283" s="67"/>
      <c r="CN283" s="67"/>
      <c r="CO283" s="67"/>
      <c r="CP283" s="67"/>
      <c r="CQ283" s="67"/>
      <c r="CR283" s="67"/>
      <c r="CS283" s="67"/>
      <c r="CT283" s="67"/>
      <c r="CU283" s="67"/>
      <c r="CV283" s="67"/>
      <c r="CW283" s="67"/>
      <c r="CX283" s="67"/>
    </row>
    <row r="284" spans="16:102" s="123" customFormat="1" ht="14.5" x14ac:dyDescent="0.35">
      <c r="P284" s="146"/>
      <c r="Q284" s="146"/>
      <c r="R284" s="146"/>
      <c r="S284" s="146"/>
      <c r="T284" s="146"/>
      <c r="U284" s="146"/>
      <c r="V284" s="146"/>
      <c r="W284" s="146"/>
      <c r="X284" s="146"/>
      <c r="Y284" s="146"/>
      <c r="Z284" s="146"/>
      <c r="AA284" s="146"/>
      <c r="AB284" s="146" t="s">
        <v>244</v>
      </c>
      <c r="AC284" s="146"/>
      <c r="AD284" s="146"/>
      <c r="AE284" s="146"/>
      <c r="AF284" s="146"/>
      <c r="AG284" s="146"/>
      <c r="AH284" s="146"/>
      <c r="AI284" s="146"/>
      <c r="AJ284" s="146"/>
      <c r="AK284" s="146"/>
      <c r="AL284" s="146"/>
      <c r="AM284" s="146"/>
      <c r="AN284" s="146"/>
      <c r="AO284" s="146"/>
      <c r="AP284" s="146"/>
      <c r="AQ284" s="146"/>
      <c r="AR284" s="146"/>
      <c r="AS284" s="146"/>
      <c r="AT284" s="146"/>
      <c r="AU284" s="146"/>
      <c r="AV284" s="146"/>
      <c r="AW284" s="146"/>
      <c r="AX284" s="146"/>
      <c r="AY284" s="146"/>
      <c r="AZ284" s="146"/>
      <c r="BA284" s="146"/>
      <c r="BB284" s="146"/>
      <c r="BC284" s="146"/>
      <c r="BD284" s="146"/>
      <c r="BE284" s="146"/>
      <c r="BF284" s="146"/>
      <c r="BG284" s="146"/>
      <c r="BH284" s="146"/>
      <c r="BI284" s="146"/>
      <c r="BJ284" s="146"/>
      <c r="BK284" s="146"/>
      <c r="BL284" s="146"/>
      <c r="BM284" s="146"/>
      <c r="BN284" s="67"/>
      <c r="BO284" s="67"/>
      <c r="BP284" s="67"/>
      <c r="BQ284" s="67"/>
      <c r="BR284" s="67"/>
      <c r="BS284" s="67"/>
      <c r="BT284" s="67"/>
      <c r="BU284" s="67"/>
      <c r="BV284" s="67"/>
      <c r="BW284" s="67"/>
      <c r="BX284" s="67"/>
      <c r="BY284" s="67"/>
      <c r="BZ284" s="67"/>
      <c r="CA284" s="67"/>
      <c r="CB284" s="67"/>
      <c r="CC284" s="67"/>
      <c r="CD284" s="67"/>
      <c r="CE284" s="67"/>
      <c r="CF284" s="67"/>
      <c r="CG284" s="67"/>
      <c r="CH284" s="67"/>
      <c r="CI284" s="67"/>
      <c r="CJ284" s="67"/>
      <c r="CK284" s="67"/>
      <c r="CL284" s="67"/>
      <c r="CM284" s="67"/>
      <c r="CN284" s="67"/>
      <c r="CO284" s="67"/>
      <c r="CP284" s="67"/>
      <c r="CQ284" s="67"/>
      <c r="CR284" s="67"/>
      <c r="CS284" s="67"/>
      <c r="CT284" s="67"/>
      <c r="CU284" s="67"/>
      <c r="CV284" s="67"/>
      <c r="CW284" s="67"/>
      <c r="CX284" s="67"/>
    </row>
    <row r="285" spans="16:102" s="123" customFormat="1" ht="14.5" x14ac:dyDescent="0.35">
      <c r="P285" s="146"/>
      <c r="Q285" s="146"/>
      <c r="R285" s="146"/>
      <c r="S285" s="146"/>
      <c r="T285" s="146"/>
      <c r="U285" s="146"/>
      <c r="V285" s="146"/>
      <c r="W285" s="146"/>
      <c r="X285" s="146"/>
      <c r="Y285" s="146"/>
      <c r="Z285" s="146"/>
      <c r="AA285" s="146"/>
      <c r="AB285" s="146" t="s">
        <v>245</v>
      </c>
      <c r="AC285" s="146"/>
      <c r="AD285" s="146"/>
      <c r="AE285" s="146"/>
      <c r="AF285" s="146"/>
      <c r="AG285" s="146"/>
      <c r="AH285" s="146"/>
      <c r="AI285" s="146"/>
      <c r="AJ285" s="146"/>
      <c r="AK285" s="146"/>
      <c r="AL285" s="146"/>
      <c r="AM285" s="146"/>
      <c r="AN285" s="146"/>
      <c r="AO285" s="146"/>
      <c r="AP285" s="146"/>
      <c r="AQ285" s="146"/>
      <c r="AR285" s="146"/>
      <c r="AS285" s="146"/>
      <c r="AT285" s="146"/>
      <c r="AU285" s="146"/>
      <c r="AV285" s="146"/>
      <c r="AW285" s="146"/>
      <c r="AX285" s="146"/>
      <c r="AY285" s="146"/>
      <c r="AZ285" s="146"/>
      <c r="BA285" s="146"/>
      <c r="BB285" s="146"/>
      <c r="BC285" s="146"/>
      <c r="BD285" s="146"/>
      <c r="BE285" s="146"/>
      <c r="BF285" s="146"/>
      <c r="BG285" s="146"/>
      <c r="BH285" s="146"/>
      <c r="BI285" s="146"/>
      <c r="BJ285" s="146"/>
      <c r="BK285" s="146"/>
      <c r="BL285" s="146"/>
      <c r="BM285" s="146"/>
      <c r="BN285" s="67"/>
      <c r="BO285" s="67"/>
      <c r="BP285" s="67"/>
      <c r="BQ285" s="67"/>
      <c r="BR285" s="67"/>
      <c r="BS285" s="67"/>
      <c r="BT285" s="67"/>
      <c r="BU285" s="67"/>
      <c r="BV285" s="67"/>
      <c r="BW285" s="67"/>
      <c r="BX285" s="67"/>
      <c r="BY285" s="67"/>
      <c r="BZ285" s="67"/>
      <c r="CA285" s="67"/>
      <c r="CB285" s="67"/>
      <c r="CC285" s="67"/>
      <c r="CD285" s="67"/>
      <c r="CE285" s="67"/>
      <c r="CF285" s="67"/>
      <c r="CG285" s="67"/>
      <c r="CH285" s="67"/>
      <c r="CI285" s="67"/>
      <c r="CJ285" s="67"/>
      <c r="CK285" s="67"/>
      <c r="CL285" s="67"/>
      <c r="CM285" s="67"/>
      <c r="CN285" s="67"/>
      <c r="CO285" s="67"/>
      <c r="CP285" s="67"/>
      <c r="CQ285" s="67"/>
      <c r="CR285" s="67"/>
      <c r="CS285" s="67"/>
      <c r="CT285" s="67"/>
      <c r="CU285" s="67"/>
      <c r="CV285" s="67"/>
      <c r="CW285" s="67"/>
      <c r="CX285" s="67"/>
    </row>
    <row r="286" spans="16:102" s="123" customFormat="1" ht="14.5" x14ac:dyDescent="0.35">
      <c r="P286" s="146"/>
      <c r="Q286" s="146"/>
      <c r="R286" s="146"/>
      <c r="S286" s="146"/>
      <c r="T286" s="146"/>
      <c r="U286" s="146"/>
      <c r="V286" s="146"/>
      <c r="W286" s="146"/>
      <c r="X286" s="146"/>
      <c r="Y286" s="146"/>
      <c r="Z286" s="146"/>
      <c r="AA286" s="146"/>
      <c r="AB286" s="146" t="s">
        <v>246</v>
      </c>
      <c r="AC286" s="146"/>
      <c r="AD286" s="146"/>
      <c r="AE286" s="146"/>
      <c r="AF286" s="146"/>
      <c r="AG286" s="146"/>
      <c r="AH286" s="146"/>
      <c r="AI286" s="146"/>
      <c r="AJ286" s="146"/>
      <c r="AK286" s="146"/>
      <c r="AL286" s="146"/>
      <c r="AM286" s="146"/>
      <c r="AN286" s="146"/>
      <c r="AO286" s="146"/>
      <c r="AP286" s="146"/>
      <c r="AQ286" s="146"/>
      <c r="AR286" s="146"/>
      <c r="AS286" s="146"/>
      <c r="AT286" s="146"/>
      <c r="AU286" s="146"/>
      <c r="AV286" s="146"/>
      <c r="AW286" s="146"/>
      <c r="AX286" s="146"/>
      <c r="AY286" s="146"/>
      <c r="AZ286" s="146"/>
      <c r="BA286" s="146"/>
      <c r="BB286" s="146"/>
      <c r="BC286" s="146"/>
      <c r="BD286" s="146"/>
      <c r="BE286" s="146"/>
      <c r="BF286" s="146"/>
      <c r="BG286" s="146"/>
      <c r="BH286" s="146"/>
      <c r="BI286" s="146"/>
      <c r="BJ286" s="146"/>
      <c r="BK286" s="146"/>
      <c r="BL286" s="146"/>
      <c r="BM286" s="146"/>
      <c r="BN286" s="67"/>
      <c r="BO286" s="67"/>
      <c r="BP286" s="67"/>
      <c r="BQ286" s="67"/>
      <c r="BR286" s="67"/>
      <c r="BS286" s="67"/>
      <c r="BT286" s="67"/>
      <c r="BU286" s="67"/>
      <c r="BV286" s="67"/>
      <c r="BW286" s="67"/>
      <c r="BX286" s="67"/>
      <c r="BY286" s="67"/>
      <c r="BZ286" s="67"/>
      <c r="CA286" s="67"/>
      <c r="CB286" s="67"/>
      <c r="CC286" s="67"/>
      <c r="CD286" s="67"/>
      <c r="CE286" s="67"/>
      <c r="CF286" s="67"/>
      <c r="CG286" s="67"/>
      <c r="CH286" s="67"/>
      <c r="CI286" s="67"/>
      <c r="CJ286" s="67"/>
      <c r="CK286" s="67"/>
      <c r="CL286" s="67"/>
      <c r="CM286" s="67"/>
      <c r="CN286" s="67"/>
      <c r="CO286" s="67"/>
      <c r="CP286" s="67"/>
      <c r="CQ286" s="67"/>
      <c r="CR286" s="67"/>
      <c r="CS286" s="67"/>
      <c r="CT286" s="67"/>
      <c r="CU286" s="67"/>
      <c r="CV286" s="67"/>
      <c r="CW286" s="67"/>
      <c r="CX286" s="67"/>
    </row>
    <row r="287" spans="16:102" s="123" customFormat="1" ht="14.5" x14ac:dyDescent="0.35">
      <c r="P287" s="146"/>
      <c r="Q287" s="146"/>
      <c r="R287" s="146"/>
      <c r="S287" s="146"/>
      <c r="T287" s="146"/>
      <c r="U287" s="146"/>
      <c r="V287" s="146"/>
      <c r="W287" s="146"/>
      <c r="X287" s="146"/>
      <c r="Y287" s="146"/>
      <c r="Z287" s="146"/>
      <c r="AA287" s="146"/>
      <c r="AB287" s="146" t="s">
        <v>247</v>
      </c>
      <c r="AC287" s="146"/>
      <c r="AD287" s="146"/>
      <c r="AE287" s="146"/>
      <c r="AF287" s="146"/>
      <c r="AG287" s="146"/>
      <c r="AH287" s="146"/>
      <c r="AI287" s="146"/>
      <c r="AJ287" s="146"/>
      <c r="AK287" s="146"/>
      <c r="AL287" s="146"/>
      <c r="AM287" s="146"/>
      <c r="AN287" s="146"/>
      <c r="AO287" s="146"/>
      <c r="AP287" s="146"/>
      <c r="AQ287" s="146"/>
      <c r="AR287" s="146"/>
      <c r="AS287" s="146"/>
      <c r="AT287" s="146"/>
      <c r="AU287" s="146"/>
      <c r="AV287" s="146"/>
      <c r="AW287" s="146"/>
      <c r="AX287" s="146"/>
      <c r="AY287" s="146"/>
      <c r="AZ287" s="146"/>
      <c r="BA287" s="146"/>
      <c r="BB287" s="146"/>
      <c r="BC287" s="146"/>
      <c r="BD287" s="146"/>
      <c r="BE287" s="146"/>
      <c r="BF287" s="146"/>
      <c r="BG287" s="146"/>
      <c r="BH287" s="146"/>
      <c r="BI287" s="146"/>
      <c r="BJ287" s="146"/>
      <c r="BK287" s="146"/>
      <c r="BL287" s="146"/>
      <c r="BM287" s="146"/>
      <c r="BN287" s="67"/>
      <c r="BO287" s="67"/>
      <c r="BP287" s="67"/>
      <c r="BQ287" s="67"/>
      <c r="BR287" s="67"/>
      <c r="BS287" s="67"/>
      <c r="BT287" s="67"/>
      <c r="BU287" s="67"/>
      <c r="BV287" s="67"/>
      <c r="BW287" s="67"/>
      <c r="BX287" s="67"/>
      <c r="BY287" s="67"/>
      <c r="BZ287" s="67"/>
      <c r="CA287" s="67"/>
      <c r="CB287" s="67"/>
      <c r="CC287" s="67"/>
      <c r="CD287" s="67"/>
      <c r="CE287" s="67"/>
      <c r="CF287" s="67"/>
      <c r="CG287" s="67"/>
      <c r="CH287" s="67"/>
      <c r="CI287" s="67"/>
      <c r="CJ287" s="67"/>
      <c r="CK287" s="67"/>
      <c r="CL287" s="67"/>
      <c r="CM287" s="67"/>
      <c r="CN287" s="67"/>
      <c r="CO287" s="67"/>
      <c r="CP287" s="67"/>
      <c r="CQ287" s="67"/>
      <c r="CR287" s="67"/>
      <c r="CS287" s="67"/>
      <c r="CT287" s="67"/>
      <c r="CU287" s="67"/>
      <c r="CV287" s="67"/>
      <c r="CW287" s="67"/>
      <c r="CX287" s="67"/>
    </row>
    <row r="288" spans="16:102" s="123" customFormat="1" ht="14.5" x14ac:dyDescent="0.35">
      <c r="P288" s="146"/>
      <c r="Q288" s="146"/>
      <c r="R288" s="146"/>
      <c r="S288" s="146"/>
      <c r="T288" s="146"/>
      <c r="U288" s="146"/>
      <c r="V288" s="146"/>
      <c r="W288" s="146"/>
      <c r="X288" s="146"/>
      <c r="Y288" s="146"/>
      <c r="Z288" s="146"/>
      <c r="AA288" s="146"/>
      <c r="AB288" s="146" t="s">
        <v>248</v>
      </c>
      <c r="AC288" s="146"/>
      <c r="AD288" s="146"/>
      <c r="AE288" s="146"/>
      <c r="AF288" s="146"/>
      <c r="AG288" s="146"/>
      <c r="AH288" s="146"/>
      <c r="AI288" s="146"/>
      <c r="AJ288" s="146"/>
      <c r="AK288" s="146"/>
      <c r="AL288" s="146"/>
      <c r="AM288" s="146"/>
      <c r="AN288" s="146"/>
      <c r="AO288" s="146"/>
      <c r="AP288" s="146"/>
      <c r="AQ288" s="146"/>
      <c r="AR288" s="146"/>
      <c r="AS288" s="146"/>
      <c r="AT288" s="146"/>
      <c r="AU288" s="146"/>
      <c r="AV288" s="146"/>
      <c r="AW288" s="146"/>
      <c r="AX288" s="146"/>
      <c r="AY288" s="146"/>
      <c r="AZ288" s="146"/>
      <c r="BA288" s="146"/>
      <c r="BB288" s="146"/>
      <c r="BC288" s="146"/>
      <c r="BD288" s="146"/>
      <c r="BE288" s="146"/>
      <c r="BF288" s="146"/>
      <c r="BG288" s="146"/>
      <c r="BH288" s="146"/>
      <c r="BI288" s="146"/>
      <c r="BJ288" s="146"/>
      <c r="BK288" s="146"/>
      <c r="BL288" s="146"/>
      <c r="BM288" s="146"/>
      <c r="BN288" s="67"/>
      <c r="BO288" s="67"/>
      <c r="BP288" s="67"/>
      <c r="BQ288" s="67"/>
      <c r="BR288" s="67"/>
      <c r="BS288" s="67"/>
      <c r="BT288" s="67"/>
      <c r="BU288" s="67"/>
      <c r="BV288" s="67"/>
      <c r="BW288" s="67"/>
      <c r="BX288" s="67"/>
      <c r="BY288" s="67"/>
      <c r="BZ288" s="67"/>
      <c r="CA288" s="67"/>
      <c r="CB288" s="67"/>
      <c r="CC288" s="67"/>
      <c r="CD288" s="67"/>
      <c r="CE288" s="67"/>
      <c r="CF288" s="67"/>
      <c r="CG288" s="67"/>
      <c r="CH288" s="67"/>
      <c r="CI288" s="67"/>
      <c r="CJ288" s="67"/>
      <c r="CK288" s="67"/>
      <c r="CL288" s="67"/>
      <c r="CM288" s="67"/>
      <c r="CN288" s="67"/>
      <c r="CO288" s="67"/>
      <c r="CP288" s="67"/>
      <c r="CQ288" s="67"/>
      <c r="CR288" s="67"/>
      <c r="CS288" s="67"/>
      <c r="CT288" s="67"/>
      <c r="CU288" s="67"/>
      <c r="CV288" s="67"/>
      <c r="CW288" s="67"/>
      <c r="CX288" s="67"/>
    </row>
    <row r="289" spans="16:102" s="123" customFormat="1" ht="14.5" x14ac:dyDescent="0.35">
      <c r="P289" s="146"/>
      <c r="Q289" s="146"/>
      <c r="R289" s="146"/>
      <c r="S289" s="146"/>
      <c r="T289" s="146"/>
      <c r="U289" s="146"/>
      <c r="V289" s="146"/>
      <c r="W289" s="146"/>
      <c r="X289" s="146"/>
      <c r="Y289" s="146"/>
      <c r="Z289" s="146"/>
      <c r="AA289" s="146"/>
      <c r="AB289" s="146" t="s">
        <v>249</v>
      </c>
      <c r="AC289" s="146"/>
      <c r="AD289" s="146"/>
      <c r="AE289" s="146"/>
      <c r="AF289" s="146"/>
      <c r="AG289" s="146"/>
      <c r="AH289" s="146"/>
      <c r="AI289" s="146"/>
      <c r="AJ289" s="146"/>
      <c r="AK289" s="146"/>
      <c r="AL289" s="146"/>
      <c r="AM289" s="146"/>
      <c r="AN289" s="146"/>
      <c r="AO289" s="146"/>
      <c r="AP289" s="146"/>
      <c r="AQ289" s="146"/>
      <c r="AR289" s="146"/>
      <c r="AS289" s="146"/>
      <c r="AT289" s="146"/>
      <c r="AU289" s="146"/>
      <c r="AV289" s="146"/>
      <c r="AW289" s="146"/>
      <c r="AX289" s="146"/>
      <c r="AY289" s="146"/>
      <c r="AZ289" s="146"/>
      <c r="BA289" s="146"/>
      <c r="BB289" s="146"/>
      <c r="BC289" s="146"/>
      <c r="BD289" s="146"/>
      <c r="BE289" s="146"/>
      <c r="BF289" s="146"/>
      <c r="BG289" s="146"/>
      <c r="BH289" s="146"/>
      <c r="BI289" s="146"/>
      <c r="BJ289" s="146"/>
      <c r="BK289" s="146"/>
      <c r="BL289" s="146"/>
      <c r="BM289" s="146"/>
      <c r="BN289" s="67"/>
      <c r="BO289" s="67"/>
      <c r="BP289" s="67"/>
      <c r="BQ289" s="67"/>
      <c r="BR289" s="67"/>
      <c r="BS289" s="67"/>
      <c r="BT289" s="67"/>
      <c r="BU289" s="67"/>
      <c r="BV289" s="67"/>
      <c r="BW289" s="67"/>
      <c r="BX289" s="67"/>
      <c r="BY289" s="67"/>
      <c r="BZ289" s="67"/>
      <c r="CA289" s="67"/>
      <c r="CB289" s="67"/>
      <c r="CC289" s="67"/>
      <c r="CD289" s="67"/>
      <c r="CE289" s="67"/>
      <c r="CF289" s="67"/>
      <c r="CG289" s="67"/>
      <c r="CH289" s="67"/>
      <c r="CI289" s="67"/>
      <c r="CJ289" s="67"/>
      <c r="CK289" s="67"/>
      <c r="CL289" s="67"/>
      <c r="CM289" s="67"/>
      <c r="CN289" s="67"/>
      <c r="CO289" s="67"/>
      <c r="CP289" s="67"/>
      <c r="CQ289" s="67"/>
      <c r="CR289" s="67"/>
      <c r="CS289" s="67"/>
      <c r="CT289" s="67"/>
      <c r="CU289" s="67"/>
      <c r="CV289" s="67"/>
      <c r="CW289" s="67"/>
      <c r="CX289" s="67"/>
    </row>
    <row r="290" spans="16:102" s="123" customFormat="1" ht="14.5" x14ac:dyDescent="0.35">
      <c r="P290" s="146"/>
      <c r="Q290" s="146"/>
      <c r="R290" s="146"/>
      <c r="S290" s="146"/>
      <c r="T290" s="146"/>
      <c r="U290" s="146"/>
      <c r="V290" s="146"/>
      <c r="W290" s="146"/>
      <c r="X290" s="146"/>
      <c r="Y290" s="146"/>
      <c r="Z290" s="146"/>
      <c r="AA290" s="146"/>
      <c r="AB290" s="146" t="s">
        <v>250</v>
      </c>
      <c r="AC290" s="146"/>
      <c r="AD290" s="146"/>
      <c r="AE290" s="146"/>
      <c r="AF290" s="146"/>
      <c r="AG290" s="146"/>
      <c r="AH290" s="146"/>
      <c r="AI290" s="146"/>
      <c r="AJ290" s="146"/>
      <c r="AK290" s="146"/>
      <c r="AL290" s="146"/>
      <c r="AM290" s="146"/>
      <c r="AN290" s="146"/>
      <c r="AO290" s="146"/>
      <c r="AP290" s="146"/>
      <c r="AQ290" s="146"/>
      <c r="AR290" s="146"/>
      <c r="AS290" s="146"/>
      <c r="AT290" s="146"/>
      <c r="AU290" s="146"/>
      <c r="AV290" s="146"/>
      <c r="AW290" s="146"/>
      <c r="AX290" s="146"/>
      <c r="AY290" s="146"/>
      <c r="AZ290" s="146"/>
      <c r="BA290" s="146"/>
      <c r="BB290" s="146"/>
      <c r="BC290" s="146"/>
      <c r="BD290" s="146"/>
      <c r="BE290" s="146"/>
      <c r="BF290" s="146"/>
      <c r="BG290" s="146"/>
      <c r="BH290" s="146"/>
      <c r="BI290" s="146"/>
      <c r="BJ290" s="146"/>
      <c r="BK290" s="146"/>
      <c r="BL290" s="146"/>
      <c r="BM290" s="146"/>
      <c r="BN290" s="67"/>
      <c r="BO290" s="67"/>
      <c r="BP290" s="67"/>
      <c r="BQ290" s="67"/>
      <c r="BR290" s="67"/>
      <c r="BS290" s="67"/>
      <c r="BT290" s="67"/>
      <c r="BU290" s="67"/>
      <c r="BV290" s="67"/>
      <c r="BW290" s="67"/>
      <c r="BX290" s="67"/>
      <c r="BY290" s="67"/>
      <c r="BZ290" s="67"/>
      <c r="CA290" s="67"/>
      <c r="CB290" s="67"/>
      <c r="CC290" s="67"/>
      <c r="CD290" s="67"/>
      <c r="CE290" s="67"/>
      <c r="CF290" s="67"/>
      <c r="CG290" s="67"/>
      <c r="CH290" s="67"/>
      <c r="CI290" s="67"/>
      <c r="CJ290" s="67"/>
      <c r="CK290" s="67"/>
      <c r="CL290" s="67"/>
      <c r="CM290" s="67"/>
      <c r="CN290" s="67"/>
      <c r="CO290" s="67"/>
      <c r="CP290" s="67"/>
      <c r="CQ290" s="67"/>
      <c r="CR290" s="67"/>
      <c r="CS290" s="67"/>
      <c r="CT290" s="67"/>
      <c r="CU290" s="67"/>
      <c r="CV290" s="67"/>
      <c r="CW290" s="67"/>
      <c r="CX290" s="67"/>
    </row>
    <row r="291" spans="16:102" s="123" customFormat="1" ht="14.5" x14ac:dyDescent="0.35">
      <c r="P291" s="146"/>
      <c r="Q291" s="146"/>
      <c r="R291" s="146"/>
      <c r="S291" s="146"/>
      <c r="T291" s="146"/>
      <c r="U291" s="146"/>
      <c r="V291" s="146"/>
      <c r="W291" s="146"/>
      <c r="X291" s="146"/>
      <c r="Y291" s="146"/>
      <c r="Z291" s="146"/>
      <c r="AA291" s="146"/>
      <c r="AB291" s="146" t="s">
        <v>251</v>
      </c>
      <c r="AC291" s="146"/>
      <c r="AD291" s="146"/>
      <c r="AE291" s="146"/>
      <c r="AF291" s="146"/>
      <c r="AG291" s="146"/>
      <c r="AH291" s="146"/>
      <c r="AI291" s="146"/>
      <c r="AJ291" s="146"/>
      <c r="AK291" s="146"/>
      <c r="AL291" s="146"/>
      <c r="AM291" s="146"/>
      <c r="AN291" s="146"/>
      <c r="AO291" s="146"/>
      <c r="AP291" s="146"/>
      <c r="AQ291" s="146"/>
      <c r="AR291" s="146"/>
      <c r="AS291" s="146"/>
      <c r="AT291" s="146"/>
      <c r="AU291" s="146"/>
      <c r="AV291" s="146"/>
      <c r="AW291" s="146"/>
      <c r="AX291" s="146"/>
      <c r="AY291" s="146"/>
      <c r="AZ291" s="146"/>
      <c r="BA291" s="146"/>
      <c r="BB291" s="146"/>
      <c r="BC291" s="146"/>
      <c r="BD291" s="146"/>
      <c r="BE291" s="146"/>
      <c r="BF291" s="146"/>
      <c r="BG291" s="146"/>
      <c r="BH291" s="146"/>
      <c r="BI291" s="146"/>
      <c r="BJ291" s="146"/>
      <c r="BK291" s="146"/>
      <c r="BL291" s="146"/>
      <c r="BM291" s="146"/>
      <c r="BN291" s="67"/>
      <c r="BO291" s="67"/>
      <c r="BP291" s="67"/>
      <c r="BQ291" s="67"/>
      <c r="BR291" s="67"/>
      <c r="BS291" s="67"/>
      <c r="BT291" s="67"/>
      <c r="BU291" s="67"/>
      <c r="BV291" s="67"/>
      <c r="BW291" s="67"/>
      <c r="BX291" s="67"/>
      <c r="BY291" s="67"/>
      <c r="BZ291" s="67"/>
      <c r="CA291" s="67"/>
      <c r="CB291" s="67"/>
      <c r="CC291" s="67"/>
      <c r="CD291" s="67"/>
      <c r="CE291" s="67"/>
      <c r="CF291" s="67"/>
      <c r="CG291" s="67"/>
      <c r="CH291" s="67"/>
      <c r="CI291" s="67"/>
      <c r="CJ291" s="67"/>
      <c r="CK291" s="67"/>
      <c r="CL291" s="67"/>
      <c r="CM291" s="67"/>
      <c r="CN291" s="67"/>
      <c r="CO291" s="67"/>
      <c r="CP291" s="67"/>
      <c r="CQ291" s="67"/>
      <c r="CR291" s="67"/>
      <c r="CS291" s="67"/>
      <c r="CT291" s="67"/>
      <c r="CU291" s="67"/>
      <c r="CV291" s="67"/>
      <c r="CW291" s="67"/>
      <c r="CX291" s="67"/>
    </row>
    <row r="292" spans="16:102" s="123" customFormat="1" ht="14.5" x14ac:dyDescent="0.35">
      <c r="P292" s="146"/>
      <c r="Q292" s="146"/>
      <c r="R292" s="146"/>
      <c r="S292" s="146"/>
      <c r="T292" s="146"/>
      <c r="U292" s="146"/>
      <c r="V292" s="146"/>
      <c r="W292" s="146"/>
      <c r="X292" s="146"/>
      <c r="Y292" s="146"/>
      <c r="Z292" s="146"/>
      <c r="AA292" s="146"/>
      <c r="AB292" s="146" t="s">
        <v>252</v>
      </c>
      <c r="AC292" s="146"/>
      <c r="AD292" s="146"/>
      <c r="AE292" s="146"/>
      <c r="AF292" s="146"/>
      <c r="AG292" s="146"/>
      <c r="AH292" s="146"/>
      <c r="AI292" s="146"/>
      <c r="AJ292" s="146"/>
      <c r="AK292" s="146"/>
      <c r="AL292" s="146"/>
      <c r="AM292" s="146"/>
      <c r="AN292" s="146"/>
      <c r="AO292" s="146"/>
      <c r="AP292" s="146"/>
      <c r="AQ292" s="146"/>
      <c r="AR292" s="146"/>
      <c r="AS292" s="146"/>
      <c r="AT292" s="146"/>
      <c r="AU292" s="146"/>
      <c r="AV292" s="146"/>
      <c r="AW292" s="146"/>
      <c r="AX292" s="146"/>
      <c r="AY292" s="146"/>
      <c r="AZ292" s="146"/>
      <c r="BA292" s="146"/>
      <c r="BB292" s="146"/>
      <c r="BC292" s="146"/>
      <c r="BD292" s="146"/>
      <c r="BE292" s="146"/>
      <c r="BF292" s="146"/>
      <c r="BG292" s="146"/>
      <c r="BH292" s="146"/>
      <c r="BI292" s="146"/>
      <c r="BJ292" s="146"/>
      <c r="BK292" s="146"/>
      <c r="BL292" s="146"/>
      <c r="BM292" s="146"/>
      <c r="BN292" s="67"/>
      <c r="BO292" s="67"/>
      <c r="BP292" s="67"/>
      <c r="BQ292" s="67"/>
      <c r="BR292" s="67"/>
      <c r="BS292" s="67"/>
      <c r="BT292" s="67"/>
      <c r="BU292" s="67"/>
      <c r="BV292" s="67"/>
      <c r="BW292" s="67"/>
      <c r="BX292" s="67"/>
      <c r="BY292" s="67"/>
      <c r="BZ292" s="67"/>
      <c r="CA292" s="67"/>
      <c r="CB292" s="67"/>
      <c r="CC292" s="67"/>
      <c r="CD292" s="67"/>
      <c r="CE292" s="67"/>
      <c r="CF292" s="67"/>
      <c r="CG292" s="67"/>
      <c r="CH292" s="67"/>
      <c r="CI292" s="67"/>
      <c r="CJ292" s="67"/>
      <c r="CK292" s="67"/>
      <c r="CL292" s="67"/>
      <c r="CM292" s="67"/>
      <c r="CN292" s="67"/>
      <c r="CO292" s="67"/>
      <c r="CP292" s="67"/>
      <c r="CQ292" s="67"/>
      <c r="CR292" s="67"/>
      <c r="CS292" s="67"/>
      <c r="CT292" s="67"/>
      <c r="CU292" s="67"/>
      <c r="CV292" s="67"/>
      <c r="CW292" s="67"/>
      <c r="CX292" s="67"/>
    </row>
    <row r="293" spans="16:102" s="123" customFormat="1" ht="14.5" x14ac:dyDescent="0.35">
      <c r="P293" s="146"/>
      <c r="Q293" s="146"/>
      <c r="R293" s="146"/>
      <c r="S293" s="146"/>
      <c r="T293" s="146"/>
      <c r="U293" s="146"/>
      <c r="V293" s="146"/>
      <c r="W293" s="146"/>
      <c r="X293" s="146"/>
      <c r="Y293" s="146"/>
      <c r="Z293" s="146"/>
      <c r="AA293" s="146"/>
      <c r="AB293" s="146" t="s">
        <v>253</v>
      </c>
      <c r="AC293" s="146"/>
      <c r="AD293" s="146"/>
      <c r="AE293" s="146"/>
      <c r="AF293" s="146"/>
      <c r="AG293" s="146"/>
      <c r="AH293" s="146"/>
      <c r="AI293" s="146"/>
      <c r="AJ293" s="146"/>
      <c r="AK293" s="146"/>
      <c r="AL293" s="146"/>
      <c r="AM293" s="146"/>
      <c r="AN293" s="146"/>
      <c r="AO293" s="146"/>
      <c r="AP293" s="146"/>
      <c r="AQ293" s="146"/>
      <c r="AR293" s="146"/>
      <c r="AS293" s="146"/>
      <c r="AT293" s="146"/>
      <c r="AU293" s="146"/>
      <c r="AV293" s="146"/>
      <c r="AW293" s="146"/>
      <c r="AX293" s="146"/>
      <c r="AY293" s="146"/>
      <c r="AZ293" s="146"/>
      <c r="BA293" s="146"/>
      <c r="BB293" s="146"/>
      <c r="BC293" s="146"/>
      <c r="BD293" s="146"/>
      <c r="BE293" s="146"/>
      <c r="BF293" s="146"/>
      <c r="BG293" s="146"/>
      <c r="BH293" s="146"/>
      <c r="BI293" s="146"/>
      <c r="BJ293" s="146"/>
      <c r="BK293" s="146"/>
      <c r="BL293" s="146"/>
      <c r="BM293" s="146"/>
      <c r="BN293" s="67"/>
      <c r="BO293" s="67"/>
      <c r="BP293" s="67"/>
      <c r="BQ293" s="67"/>
      <c r="BR293" s="67"/>
      <c r="BS293" s="67"/>
      <c r="BT293" s="67"/>
      <c r="BU293" s="67"/>
      <c r="BV293" s="67"/>
      <c r="BW293" s="67"/>
      <c r="BX293" s="67"/>
      <c r="BY293" s="67"/>
      <c r="BZ293" s="67"/>
      <c r="CA293" s="67"/>
      <c r="CB293" s="67"/>
      <c r="CC293" s="67"/>
      <c r="CD293" s="67"/>
      <c r="CE293" s="67"/>
      <c r="CF293" s="67"/>
      <c r="CG293" s="67"/>
      <c r="CH293" s="67"/>
      <c r="CI293" s="67"/>
      <c r="CJ293" s="67"/>
      <c r="CK293" s="67"/>
      <c r="CL293" s="67"/>
      <c r="CM293" s="67"/>
      <c r="CN293" s="67"/>
      <c r="CO293" s="67"/>
      <c r="CP293" s="67"/>
      <c r="CQ293" s="67"/>
      <c r="CR293" s="67"/>
      <c r="CS293" s="67"/>
      <c r="CT293" s="67"/>
      <c r="CU293" s="67"/>
      <c r="CV293" s="67"/>
      <c r="CW293" s="67"/>
      <c r="CX293" s="67"/>
    </row>
    <row r="294" spans="16:102" s="123" customFormat="1" ht="14.5" x14ac:dyDescent="0.35">
      <c r="P294" s="146"/>
      <c r="Q294" s="146"/>
      <c r="R294" s="146"/>
      <c r="S294" s="146"/>
      <c r="T294" s="146"/>
      <c r="U294" s="146"/>
      <c r="V294" s="146"/>
      <c r="W294" s="146"/>
      <c r="X294" s="146"/>
      <c r="Y294" s="146"/>
      <c r="Z294" s="146"/>
      <c r="AA294" s="146"/>
      <c r="AB294" s="146" t="s">
        <v>254</v>
      </c>
      <c r="AC294" s="146"/>
      <c r="AD294" s="146"/>
      <c r="AE294" s="146"/>
      <c r="AF294" s="146"/>
      <c r="AG294" s="146"/>
      <c r="AH294" s="146"/>
      <c r="AI294" s="146"/>
      <c r="AJ294" s="146"/>
      <c r="AK294" s="146"/>
      <c r="AL294" s="146"/>
      <c r="AM294" s="146"/>
      <c r="AN294" s="146"/>
      <c r="AO294" s="146"/>
      <c r="AP294" s="146"/>
      <c r="AQ294" s="146"/>
      <c r="AR294" s="146"/>
      <c r="AS294" s="146"/>
      <c r="AT294" s="146"/>
      <c r="AU294" s="146"/>
      <c r="AV294" s="146"/>
      <c r="AW294" s="146"/>
      <c r="AX294" s="146"/>
      <c r="AY294" s="146"/>
      <c r="AZ294" s="146"/>
      <c r="BA294" s="146"/>
      <c r="BB294" s="146"/>
      <c r="BC294" s="146"/>
      <c r="BD294" s="146"/>
      <c r="BE294" s="146"/>
      <c r="BF294" s="146"/>
      <c r="BG294" s="146"/>
      <c r="BH294" s="146"/>
      <c r="BI294" s="146"/>
      <c r="BJ294" s="146"/>
      <c r="BK294" s="146"/>
      <c r="BL294" s="146"/>
      <c r="BM294" s="146"/>
      <c r="BN294" s="67"/>
      <c r="BO294" s="67"/>
      <c r="BP294" s="67"/>
      <c r="BQ294" s="67"/>
      <c r="BR294" s="67"/>
      <c r="BS294" s="67"/>
      <c r="BT294" s="67"/>
      <c r="BU294" s="67"/>
      <c r="BV294" s="67"/>
      <c r="BW294" s="67"/>
      <c r="BX294" s="67"/>
      <c r="BY294" s="67"/>
      <c r="BZ294" s="67"/>
      <c r="CA294" s="67"/>
      <c r="CB294" s="67"/>
      <c r="CC294" s="67"/>
      <c r="CD294" s="67"/>
      <c r="CE294" s="67"/>
      <c r="CF294" s="67"/>
      <c r="CG294" s="67"/>
      <c r="CH294" s="67"/>
      <c r="CI294" s="67"/>
      <c r="CJ294" s="67"/>
      <c r="CK294" s="67"/>
      <c r="CL294" s="67"/>
      <c r="CM294" s="67"/>
      <c r="CN294" s="67"/>
      <c r="CO294" s="67"/>
      <c r="CP294" s="67"/>
      <c r="CQ294" s="67"/>
      <c r="CR294" s="67"/>
      <c r="CS294" s="67"/>
      <c r="CT294" s="67"/>
      <c r="CU294" s="67"/>
      <c r="CV294" s="67"/>
      <c r="CW294" s="67"/>
      <c r="CX294" s="67"/>
    </row>
    <row r="295" spans="16:102" s="123" customFormat="1" ht="14.5" x14ac:dyDescent="0.35">
      <c r="P295" s="146"/>
      <c r="Q295" s="146"/>
      <c r="R295" s="146"/>
      <c r="S295" s="146"/>
      <c r="T295" s="146"/>
      <c r="U295" s="146"/>
      <c r="V295" s="146"/>
      <c r="W295" s="146"/>
      <c r="X295" s="146"/>
      <c r="Y295" s="146"/>
      <c r="Z295" s="146"/>
      <c r="AA295" s="146"/>
      <c r="AB295" s="146" t="s">
        <v>255</v>
      </c>
      <c r="AC295" s="146"/>
      <c r="AD295" s="146"/>
      <c r="AE295" s="146"/>
      <c r="AF295" s="146"/>
      <c r="AG295" s="146"/>
      <c r="AH295" s="146"/>
      <c r="AI295" s="146"/>
      <c r="AJ295" s="146"/>
      <c r="AK295" s="146"/>
      <c r="AL295" s="146"/>
      <c r="AM295" s="146"/>
      <c r="AN295" s="146"/>
      <c r="AO295" s="146"/>
      <c r="AP295" s="146"/>
      <c r="AQ295" s="146"/>
      <c r="AR295" s="146"/>
      <c r="AS295" s="146"/>
      <c r="AT295" s="146"/>
      <c r="AU295" s="146"/>
      <c r="AV295" s="146"/>
      <c r="AW295" s="146"/>
      <c r="AX295" s="146"/>
      <c r="AY295" s="146"/>
      <c r="AZ295" s="146"/>
      <c r="BA295" s="146"/>
      <c r="BB295" s="146"/>
      <c r="BC295" s="146"/>
      <c r="BD295" s="146"/>
      <c r="BE295" s="146"/>
      <c r="BF295" s="146"/>
      <c r="BG295" s="146"/>
      <c r="BH295" s="146"/>
      <c r="BI295" s="146"/>
      <c r="BJ295" s="146"/>
      <c r="BK295" s="146"/>
      <c r="BL295" s="146"/>
      <c r="BM295" s="146"/>
      <c r="BN295" s="67"/>
      <c r="BO295" s="67"/>
      <c r="BP295" s="67"/>
      <c r="BQ295" s="67"/>
      <c r="BR295" s="67"/>
      <c r="BS295" s="67"/>
      <c r="BT295" s="67"/>
      <c r="BU295" s="67"/>
      <c r="BV295" s="67"/>
      <c r="BW295" s="67"/>
      <c r="BX295" s="67"/>
      <c r="BY295" s="67"/>
      <c r="BZ295" s="67"/>
      <c r="CA295" s="67"/>
      <c r="CB295" s="67"/>
      <c r="CC295" s="67"/>
      <c r="CD295" s="67"/>
      <c r="CE295" s="67"/>
      <c r="CF295" s="67"/>
      <c r="CG295" s="67"/>
      <c r="CH295" s="67"/>
      <c r="CI295" s="67"/>
      <c r="CJ295" s="67"/>
      <c r="CK295" s="67"/>
      <c r="CL295" s="67"/>
      <c r="CM295" s="67"/>
      <c r="CN295" s="67"/>
      <c r="CO295" s="67"/>
      <c r="CP295" s="67"/>
      <c r="CQ295" s="67"/>
      <c r="CR295" s="67"/>
      <c r="CS295" s="67"/>
      <c r="CT295" s="67"/>
      <c r="CU295" s="67"/>
      <c r="CV295" s="67"/>
      <c r="CW295" s="67"/>
      <c r="CX295" s="67"/>
    </row>
    <row r="296" spans="16:102" s="123" customFormat="1" ht="14.5" x14ac:dyDescent="0.35">
      <c r="P296" s="146"/>
      <c r="Q296" s="146"/>
      <c r="R296" s="146"/>
      <c r="S296" s="146"/>
      <c r="T296" s="146"/>
      <c r="U296" s="146"/>
      <c r="V296" s="146"/>
      <c r="W296" s="146"/>
      <c r="X296" s="146"/>
      <c r="Y296" s="146"/>
      <c r="Z296" s="146"/>
      <c r="AA296" s="146"/>
      <c r="AB296" s="146" t="s">
        <v>256</v>
      </c>
      <c r="AC296" s="146"/>
      <c r="AD296" s="146"/>
      <c r="AE296" s="146"/>
      <c r="AF296" s="146"/>
      <c r="AG296" s="146"/>
      <c r="AH296" s="146"/>
      <c r="AI296" s="146"/>
      <c r="AJ296" s="146"/>
      <c r="AK296" s="146"/>
      <c r="AL296" s="146"/>
      <c r="AM296" s="146"/>
      <c r="AN296" s="146"/>
      <c r="AO296" s="146"/>
      <c r="AP296" s="146"/>
      <c r="AQ296" s="146"/>
      <c r="AR296" s="146"/>
      <c r="AS296" s="146"/>
      <c r="AT296" s="146"/>
      <c r="AU296" s="146"/>
      <c r="AV296" s="146"/>
      <c r="AW296" s="146"/>
      <c r="AX296" s="146"/>
      <c r="AY296" s="146"/>
      <c r="AZ296" s="146"/>
      <c r="BA296" s="146"/>
      <c r="BB296" s="146"/>
      <c r="BC296" s="146"/>
      <c r="BD296" s="146"/>
      <c r="BE296" s="146"/>
      <c r="BF296" s="146"/>
      <c r="BG296" s="146"/>
      <c r="BH296" s="146"/>
      <c r="BI296" s="146"/>
      <c r="BJ296" s="146"/>
      <c r="BK296" s="146"/>
      <c r="BL296" s="146"/>
      <c r="BM296" s="146"/>
      <c r="BN296" s="67"/>
      <c r="BO296" s="67"/>
      <c r="BP296" s="67"/>
      <c r="BQ296" s="67"/>
      <c r="BR296" s="67"/>
      <c r="BS296" s="67"/>
      <c r="BT296" s="67"/>
      <c r="BU296" s="67"/>
      <c r="BV296" s="67"/>
      <c r="BW296" s="67"/>
      <c r="BX296" s="67"/>
      <c r="BY296" s="67"/>
      <c r="BZ296" s="67"/>
      <c r="CA296" s="67"/>
      <c r="CB296" s="67"/>
      <c r="CC296" s="67"/>
      <c r="CD296" s="67"/>
      <c r="CE296" s="67"/>
      <c r="CF296" s="67"/>
      <c r="CG296" s="67"/>
      <c r="CH296" s="67"/>
      <c r="CI296" s="67"/>
      <c r="CJ296" s="67"/>
      <c r="CK296" s="67"/>
      <c r="CL296" s="67"/>
      <c r="CM296" s="67"/>
      <c r="CN296" s="67"/>
      <c r="CO296" s="67"/>
      <c r="CP296" s="67"/>
      <c r="CQ296" s="67"/>
      <c r="CR296" s="67"/>
      <c r="CS296" s="67"/>
      <c r="CT296" s="67"/>
      <c r="CU296" s="67"/>
      <c r="CV296" s="67"/>
      <c r="CW296" s="67"/>
      <c r="CX296" s="67"/>
    </row>
    <row r="297" spans="16:102" s="123" customFormat="1" ht="14.5" x14ac:dyDescent="0.35">
      <c r="P297" s="146"/>
      <c r="Q297" s="146"/>
      <c r="R297" s="146"/>
      <c r="S297" s="146"/>
      <c r="T297" s="146"/>
      <c r="U297" s="146"/>
      <c r="V297" s="146"/>
      <c r="W297" s="146"/>
      <c r="X297" s="146"/>
      <c r="Y297" s="146"/>
      <c r="Z297" s="146"/>
      <c r="AA297" s="146"/>
      <c r="AB297" s="146" t="s">
        <v>257</v>
      </c>
      <c r="AC297" s="146"/>
      <c r="AD297" s="146"/>
      <c r="AE297" s="146"/>
      <c r="AF297" s="146"/>
      <c r="AG297" s="146"/>
      <c r="AH297" s="146"/>
      <c r="AI297" s="146"/>
      <c r="AJ297" s="146"/>
      <c r="AK297" s="146"/>
      <c r="AL297" s="146"/>
      <c r="AM297" s="146"/>
      <c r="AN297" s="146"/>
      <c r="AO297" s="146"/>
      <c r="AP297" s="146"/>
      <c r="AQ297" s="146"/>
      <c r="AR297" s="146"/>
      <c r="AS297" s="146"/>
      <c r="AT297" s="146"/>
      <c r="AU297" s="146"/>
      <c r="AV297" s="146"/>
      <c r="AW297" s="146"/>
      <c r="AX297" s="146"/>
      <c r="AY297" s="146"/>
      <c r="AZ297" s="146"/>
      <c r="BA297" s="146"/>
      <c r="BB297" s="146"/>
      <c r="BC297" s="146"/>
      <c r="BD297" s="146"/>
      <c r="BE297" s="146"/>
      <c r="BF297" s="146"/>
      <c r="BG297" s="146"/>
      <c r="BH297" s="146"/>
      <c r="BI297" s="146"/>
      <c r="BJ297" s="146"/>
      <c r="BK297" s="146"/>
      <c r="BL297" s="146"/>
      <c r="BM297" s="146"/>
      <c r="BN297" s="67"/>
      <c r="BO297" s="67"/>
      <c r="BP297" s="67"/>
      <c r="BQ297" s="67"/>
      <c r="BR297" s="67"/>
      <c r="BS297" s="67"/>
      <c r="BT297" s="67"/>
      <c r="BU297" s="67"/>
      <c r="BV297" s="67"/>
      <c r="BW297" s="67"/>
      <c r="BX297" s="67"/>
      <c r="BY297" s="67"/>
      <c r="BZ297" s="67"/>
      <c r="CA297" s="67"/>
      <c r="CB297" s="67"/>
      <c r="CC297" s="67"/>
      <c r="CD297" s="67"/>
      <c r="CE297" s="67"/>
      <c r="CF297" s="67"/>
      <c r="CG297" s="67"/>
      <c r="CH297" s="67"/>
      <c r="CI297" s="67"/>
      <c r="CJ297" s="67"/>
      <c r="CK297" s="67"/>
      <c r="CL297" s="67"/>
      <c r="CM297" s="67"/>
      <c r="CN297" s="67"/>
      <c r="CO297" s="67"/>
      <c r="CP297" s="67"/>
      <c r="CQ297" s="67"/>
      <c r="CR297" s="67"/>
      <c r="CS297" s="67"/>
      <c r="CT297" s="67"/>
      <c r="CU297" s="67"/>
      <c r="CV297" s="67"/>
      <c r="CW297" s="67"/>
      <c r="CX297" s="67"/>
    </row>
    <row r="298" spans="16:102" s="123" customFormat="1" ht="14.5" x14ac:dyDescent="0.35">
      <c r="P298" s="146"/>
      <c r="Q298" s="146"/>
      <c r="R298" s="146"/>
      <c r="S298" s="146"/>
      <c r="T298" s="146"/>
      <c r="U298" s="146"/>
      <c r="V298" s="146"/>
      <c r="W298" s="146"/>
      <c r="X298" s="146"/>
      <c r="Y298" s="146"/>
      <c r="Z298" s="146"/>
      <c r="AA298" s="146"/>
      <c r="AB298" s="146" t="s">
        <v>258</v>
      </c>
      <c r="AC298" s="146"/>
      <c r="AD298" s="146"/>
      <c r="AE298" s="146"/>
      <c r="AF298" s="146"/>
      <c r="AG298" s="146"/>
      <c r="AH298" s="146"/>
      <c r="AI298" s="146"/>
      <c r="AJ298" s="146"/>
      <c r="AK298" s="146"/>
      <c r="AL298" s="146"/>
      <c r="AM298" s="146"/>
      <c r="AN298" s="146"/>
      <c r="AO298" s="146"/>
      <c r="AP298" s="146"/>
      <c r="AQ298" s="146"/>
      <c r="AR298" s="146"/>
      <c r="AS298" s="146"/>
      <c r="AT298" s="146"/>
      <c r="AU298" s="146"/>
      <c r="AV298" s="146"/>
      <c r="AW298" s="146"/>
      <c r="AX298" s="146"/>
      <c r="AY298" s="146"/>
      <c r="AZ298" s="146"/>
      <c r="BA298" s="146"/>
      <c r="BB298" s="146"/>
      <c r="BC298" s="146"/>
      <c r="BD298" s="146"/>
      <c r="BE298" s="146"/>
      <c r="BF298" s="146"/>
      <c r="BG298" s="146"/>
      <c r="BH298" s="146"/>
      <c r="BI298" s="146"/>
      <c r="BJ298" s="146"/>
      <c r="BK298" s="146"/>
      <c r="BL298" s="146"/>
      <c r="BM298" s="146"/>
      <c r="BN298" s="67"/>
      <c r="BO298" s="67"/>
      <c r="BP298" s="67"/>
      <c r="BQ298" s="67"/>
      <c r="BR298" s="67"/>
      <c r="BS298" s="67"/>
      <c r="BT298" s="67"/>
      <c r="BU298" s="67"/>
      <c r="BV298" s="67"/>
      <c r="BW298" s="67"/>
      <c r="BX298" s="67"/>
      <c r="BY298" s="67"/>
      <c r="BZ298" s="67"/>
      <c r="CA298" s="67"/>
      <c r="CB298" s="67"/>
      <c r="CC298" s="67"/>
      <c r="CD298" s="67"/>
      <c r="CE298" s="67"/>
      <c r="CF298" s="67"/>
      <c r="CG298" s="67"/>
      <c r="CH298" s="67"/>
      <c r="CI298" s="67"/>
      <c r="CJ298" s="67"/>
      <c r="CK298" s="67"/>
      <c r="CL298" s="67"/>
      <c r="CM298" s="67"/>
      <c r="CN298" s="67"/>
      <c r="CO298" s="67"/>
      <c r="CP298" s="67"/>
      <c r="CQ298" s="67"/>
      <c r="CR298" s="67"/>
      <c r="CS298" s="67"/>
      <c r="CT298" s="67"/>
      <c r="CU298" s="67"/>
      <c r="CV298" s="67"/>
      <c r="CW298" s="67"/>
      <c r="CX298" s="67"/>
    </row>
    <row r="299" spans="16:102" s="123" customFormat="1" ht="14.5" x14ac:dyDescent="0.35">
      <c r="P299" s="146"/>
      <c r="Q299" s="146"/>
      <c r="R299" s="146"/>
      <c r="S299" s="146"/>
      <c r="T299" s="146"/>
      <c r="U299" s="146"/>
      <c r="V299" s="146"/>
      <c r="W299" s="146"/>
      <c r="X299" s="146"/>
      <c r="Y299" s="146"/>
      <c r="Z299" s="146"/>
      <c r="AA299" s="146"/>
      <c r="AB299" s="146" t="s">
        <v>259</v>
      </c>
      <c r="AC299" s="146"/>
      <c r="AD299" s="146"/>
      <c r="AE299" s="146"/>
      <c r="AF299" s="146"/>
      <c r="AG299" s="146"/>
      <c r="AH299" s="146"/>
      <c r="AI299" s="146"/>
      <c r="AJ299" s="146"/>
      <c r="AK299" s="146"/>
      <c r="AL299" s="146"/>
      <c r="AM299" s="146"/>
      <c r="AN299" s="146"/>
      <c r="AO299" s="146"/>
      <c r="AP299" s="146"/>
      <c r="AQ299" s="146"/>
      <c r="AR299" s="146"/>
      <c r="AS299" s="146"/>
      <c r="AT299" s="146"/>
      <c r="AU299" s="146"/>
      <c r="AV299" s="146"/>
      <c r="AW299" s="146"/>
      <c r="AX299" s="146"/>
      <c r="AY299" s="146"/>
      <c r="AZ299" s="146"/>
      <c r="BA299" s="146"/>
      <c r="BB299" s="146"/>
      <c r="BC299" s="146"/>
      <c r="BD299" s="146"/>
      <c r="BE299" s="146"/>
      <c r="BF299" s="146"/>
      <c r="BG299" s="146"/>
      <c r="BH299" s="146"/>
      <c r="BI299" s="146"/>
      <c r="BJ299" s="146"/>
      <c r="BK299" s="146"/>
      <c r="BL299" s="146"/>
      <c r="BM299" s="146"/>
      <c r="BN299" s="67"/>
      <c r="BO299" s="67"/>
      <c r="BP299" s="67"/>
      <c r="BQ299" s="67"/>
      <c r="BR299" s="67"/>
      <c r="BS299" s="67"/>
      <c r="BT299" s="67"/>
      <c r="BU299" s="67"/>
      <c r="BV299" s="67"/>
      <c r="BW299" s="67"/>
      <c r="BX299" s="67"/>
      <c r="BY299" s="67"/>
      <c r="BZ299" s="67"/>
      <c r="CA299" s="67"/>
      <c r="CB299" s="67"/>
      <c r="CC299" s="67"/>
      <c r="CD299" s="67"/>
      <c r="CE299" s="67"/>
      <c r="CF299" s="67"/>
      <c r="CG299" s="67"/>
      <c r="CH299" s="67"/>
      <c r="CI299" s="67"/>
      <c r="CJ299" s="67"/>
      <c r="CK299" s="67"/>
      <c r="CL299" s="67"/>
      <c r="CM299" s="67"/>
      <c r="CN299" s="67"/>
      <c r="CO299" s="67"/>
      <c r="CP299" s="67"/>
      <c r="CQ299" s="67"/>
      <c r="CR299" s="67"/>
      <c r="CS299" s="67"/>
      <c r="CT299" s="67"/>
      <c r="CU299" s="67"/>
      <c r="CV299" s="67"/>
      <c r="CW299" s="67"/>
      <c r="CX299" s="67"/>
    </row>
    <row r="300" spans="16:102" s="123" customFormat="1" ht="14.5" x14ac:dyDescent="0.35">
      <c r="P300" s="146"/>
      <c r="Q300" s="146"/>
      <c r="R300" s="146"/>
      <c r="S300" s="146"/>
      <c r="T300" s="146"/>
      <c r="U300" s="146"/>
      <c r="V300" s="146"/>
      <c r="W300" s="146"/>
      <c r="X300" s="146"/>
      <c r="Y300" s="146"/>
      <c r="Z300" s="146"/>
      <c r="AA300" s="146"/>
      <c r="AB300" s="146" t="s">
        <v>260</v>
      </c>
      <c r="AC300" s="146"/>
      <c r="AD300" s="146"/>
      <c r="AE300" s="146"/>
      <c r="AF300" s="146"/>
      <c r="AG300" s="146"/>
      <c r="AH300" s="146"/>
      <c r="AI300" s="146"/>
      <c r="AJ300" s="146"/>
      <c r="AK300" s="146"/>
      <c r="AL300" s="146"/>
      <c r="AM300" s="146"/>
      <c r="AN300" s="146"/>
      <c r="AO300" s="146"/>
      <c r="AP300" s="146"/>
      <c r="AQ300" s="146"/>
      <c r="AR300" s="146"/>
      <c r="AS300" s="146"/>
      <c r="AT300" s="146"/>
      <c r="AU300" s="146"/>
      <c r="AV300" s="146"/>
      <c r="AW300" s="146"/>
      <c r="AX300" s="146"/>
      <c r="AY300" s="146"/>
      <c r="AZ300" s="146"/>
      <c r="BA300" s="146"/>
      <c r="BB300" s="146"/>
      <c r="BC300" s="146"/>
      <c r="BD300" s="146"/>
      <c r="BE300" s="146"/>
      <c r="BF300" s="146"/>
      <c r="BG300" s="146"/>
      <c r="BH300" s="146"/>
      <c r="BI300" s="146"/>
      <c r="BJ300" s="146"/>
      <c r="BK300" s="146"/>
      <c r="BL300" s="146"/>
      <c r="BM300" s="146"/>
      <c r="BN300" s="67"/>
      <c r="BO300" s="67"/>
      <c r="BP300" s="67"/>
      <c r="BQ300" s="67"/>
      <c r="BR300" s="67"/>
      <c r="BS300" s="67"/>
      <c r="BT300" s="67"/>
      <c r="BU300" s="67"/>
      <c r="BV300" s="67"/>
      <c r="BW300" s="67"/>
      <c r="BX300" s="67"/>
      <c r="BY300" s="67"/>
      <c r="BZ300" s="67"/>
      <c r="CA300" s="67"/>
      <c r="CB300" s="67"/>
      <c r="CC300" s="67"/>
      <c r="CD300" s="67"/>
      <c r="CE300" s="67"/>
      <c r="CF300" s="67"/>
      <c r="CG300" s="67"/>
      <c r="CH300" s="67"/>
      <c r="CI300" s="67"/>
      <c r="CJ300" s="67"/>
      <c r="CK300" s="67"/>
      <c r="CL300" s="67"/>
      <c r="CM300" s="67"/>
      <c r="CN300" s="67"/>
      <c r="CO300" s="67"/>
      <c r="CP300" s="67"/>
      <c r="CQ300" s="67"/>
      <c r="CR300" s="67"/>
      <c r="CS300" s="67"/>
      <c r="CT300" s="67"/>
      <c r="CU300" s="67"/>
      <c r="CV300" s="67"/>
      <c r="CW300" s="67"/>
      <c r="CX300" s="67"/>
    </row>
    <row r="301" spans="16:102" s="123" customFormat="1" ht="14.5" x14ac:dyDescent="0.35">
      <c r="P301" s="146"/>
      <c r="Q301" s="146"/>
      <c r="R301" s="146"/>
      <c r="S301" s="146"/>
      <c r="T301" s="146"/>
      <c r="U301" s="146"/>
      <c r="V301" s="146"/>
      <c r="W301" s="146"/>
      <c r="X301" s="146"/>
      <c r="Y301" s="146"/>
      <c r="Z301" s="146"/>
      <c r="AA301" s="146"/>
      <c r="AB301" s="146" t="s">
        <v>261</v>
      </c>
      <c r="AC301" s="146"/>
      <c r="AD301" s="146"/>
      <c r="AE301" s="146"/>
      <c r="AF301" s="146"/>
      <c r="AG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c r="BF301" s="146"/>
      <c r="BG301" s="146"/>
      <c r="BH301" s="146"/>
      <c r="BI301" s="146"/>
      <c r="BJ301" s="146"/>
      <c r="BK301" s="146"/>
      <c r="BL301" s="146"/>
      <c r="BM301" s="146"/>
      <c r="BN301" s="67"/>
      <c r="BO301" s="67"/>
      <c r="BP301" s="67"/>
      <c r="BQ301" s="67"/>
      <c r="BR301" s="67"/>
      <c r="BS301" s="67"/>
      <c r="BT301" s="67"/>
      <c r="BU301" s="67"/>
      <c r="BV301" s="67"/>
      <c r="BW301" s="67"/>
      <c r="BX301" s="67"/>
      <c r="BY301" s="67"/>
      <c r="BZ301" s="67"/>
      <c r="CA301" s="67"/>
      <c r="CB301" s="67"/>
      <c r="CC301" s="67"/>
      <c r="CD301" s="67"/>
      <c r="CE301" s="67"/>
      <c r="CF301" s="67"/>
      <c r="CG301" s="67"/>
      <c r="CH301" s="67"/>
      <c r="CI301" s="67"/>
      <c r="CJ301" s="67"/>
      <c r="CK301" s="67"/>
      <c r="CL301" s="67"/>
      <c r="CM301" s="67"/>
      <c r="CN301" s="67"/>
      <c r="CO301" s="67"/>
      <c r="CP301" s="67"/>
      <c r="CQ301" s="67"/>
      <c r="CR301" s="67"/>
      <c r="CS301" s="67"/>
      <c r="CT301" s="67"/>
      <c r="CU301" s="67"/>
      <c r="CV301" s="67"/>
      <c r="CW301" s="67"/>
      <c r="CX301" s="67"/>
    </row>
    <row r="302" spans="16:102" s="123" customFormat="1" ht="14.5" x14ac:dyDescent="0.35">
      <c r="P302" s="146"/>
      <c r="Q302" s="146"/>
      <c r="R302" s="146"/>
      <c r="S302" s="146"/>
      <c r="T302" s="146"/>
      <c r="U302" s="146"/>
      <c r="V302" s="146"/>
      <c r="W302" s="146"/>
      <c r="X302" s="146"/>
      <c r="Y302" s="146"/>
      <c r="Z302" s="146"/>
      <c r="AA302" s="146"/>
      <c r="AB302" s="146" t="s">
        <v>262</v>
      </c>
      <c r="AC302" s="146"/>
      <c r="AD302" s="146"/>
      <c r="AE302" s="146"/>
      <c r="AF302" s="146"/>
      <c r="AG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6"/>
      <c r="BB302" s="146"/>
      <c r="BC302" s="146"/>
      <c r="BD302" s="146"/>
      <c r="BE302" s="146"/>
      <c r="BF302" s="146"/>
      <c r="BG302" s="146"/>
      <c r="BH302" s="146"/>
      <c r="BI302" s="146"/>
      <c r="BJ302" s="146"/>
      <c r="BK302" s="146"/>
      <c r="BL302" s="146"/>
      <c r="BM302" s="146"/>
      <c r="BN302" s="67"/>
      <c r="BO302" s="67"/>
      <c r="BP302" s="67"/>
      <c r="BQ302" s="67"/>
      <c r="BR302" s="67"/>
      <c r="BS302" s="67"/>
      <c r="BT302" s="67"/>
      <c r="BU302" s="67"/>
      <c r="BV302" s="67"/>
      <c r="BW302" s="67"/>
      <c r="BX302" s="67"/>
      <c r="BY302" s="67"/>
      <c r="BZ302" s="67"/>
      <c r="CA302" s="67"/>
      <c r="CB302" s="67"/>
      <c r="CC302" s="67"/>
      <c r="CD302" s="67"/>
      <c r="CE302" s="67"/>
      <c r="CF302" s="67"/>
      <c r="CG302" s="67"/>
      <c r="CH302" s="67"/>
      <c r="CI302" s="67"/>
      <c r="CJ302" s="67"/>
      <c r="CK302" s="67"/>
      <c r="CL302" s="67"/>
      <c r="CM302" s="67"/>
      <c r="CN302" s="67"/>
      <c r="CO302" s="67"/>
      <c r="CP302" s="67"/>
      <c r="CQ302" s="67"/>
      <c r="CR302" s="67"/>
      <c r="CS302" s="67"/>
      <c r="CT302" s="67"/>
      <c r="CU302" s="67"/>
      <c r="CV302" s="67"/>
      <c r="CW302" s="67"/>
      <c r="CX302" s="67"/>
    </row>
    <row r="303" spans="16:102" s="123" customFormat="1" ht="14.5" x14ac:dyDescent="0.35">
      <c r="P303" s="146"/>
      <c r="Q303" s="146"/>
      <c r="R303" s="146"/>
      <c r="S303" s="146"/>
      <c r="T303" s="146"/>
      <c r="U303" s="146"/>
      <c r="V303" s="146"/>
      <c r="W303" s="146"/>
      <c r="X303" s="146"/>
      <c r="Y303" s="146"/>
      <c r="Z303" s="146"/>
      <c r="AA303" s="146"/>
      <c r="AB303" s="146" t="s">
        <v>263</v>
      </c>
      <c r="AC303" s="146"/>
      <c r="AD303" s="146"/>
      <c r="AE303" s="146"/>
      <c r="AF303" s="146"/>
      <c r="AG303" s="146"/>
      <c r="AH303" s="146"/>
      <c r="AI303" s="146"/>
      <c r="AJ303" s="146"/>
      <c r="AK303" s="146"/>
      <c r="AL303" s="146"/>
      <c r="AM303" s="146"/>
      <c r="AN303" s="146"/>
      <c r="AO303" s="146"/>
      <c r="AP303" s="146"/>
      <c r="AQ303" s="146"/>
      <c r="AR303" s="146"/>
      <c r="AS303" s="146"/>
      <c r="AT303" s="146"/>
      <c r="AU303" s="146"/>
      <c r="AV303" s="146"/>
      <c r="AW303" s="146"/>
      <c r="AX303" s="146"/>
      <c r="AY303" s="146"/>
      <c r="AZ303" s="146"/>
      <c r="BA303" s="146"/>
      <c r="BB303" s="146"/>
      <c r="BC303" s="146"/>
      <c r="BD303" s="146"/>
      <c r="BE303" s="146"/>
      <c r="BF303" s="146"/>
      <c r="BG303" s="146"/>
      <c r="BH303" s="146"/>
      <c r="BI303" s="146"/>
      <c r="BJ303" s="146"/>
      <c r="BK303" s="146"/>
      <c r="BL303" s="146"/>
      <c r="BM303" s="146"/>
      <c r="BN303" s="67"/>
      <c r="BO303" s="67"/>
      <c r="BP303" s="67"/>
      <c r="BQ303" s="67"/>
      <c r="BR303" s="67"/>
      <c r="BS303" s="67"/>
      <c r="BT303" s="67"/>
      <c r="BU303" s="67"/>
      <c r="BV303" s="67"/>
      <c r="BW303" s="67"/>
      <c r="BX303" s="67"/>
      <c r="BY303" s="67"/>
      <c r="BZ303" s="67"/>
      <c r="CA303" s="67"/>
      <c r="CB303" s="67"/>
      <c r="CC303" s="67"/>
      <c r="CD303" s="67"/>
      <c r="CE303" s="67"/>
      <c r="CF303" s="67"/>
      <c r="CG303" s="67"/>
      <c r="CH303" s="67"/>
      <c r="CI303" s="67"/>
      <c r="CJ303" s="67"/>
      <c r="CK303" s="67"/>
      <c r="CL303" s="67"/>
      <c r="CM303" s="67"/>
      <c r="CN303" s="67"/>
      <c r="CO303" s="67"/>
      <c r="CP303" s="67"/>
      <c r="CQ303" s="67"/>
      <c r="CR303" s="67"/>
      <c r="CS303" s="67"/>
      <c r="CT303" s="67"/>
      <c r="CU303" s="67"/>
      <c r="CV303" s="67"/>
      <c r="CW303" s="67"/>
      <c r="CX303" s="67"/>
    </row>
    <row r="304" spans="16:102" s="123" customFormat="1" ht="14.5" x14ac:dyDescent="0.35">
      <c r="P304" s="146"/>
      <c r="Q304" s="146"/>
      <c r="R304" s="146"/>
      <c r="S304" s="146"/>
      <c r="T304" s="146"/>
      <c r="U304" s="146"/>
      <c r="V304" s="146"/>
      <c r="W304" s="146"/>
      <c r="X304" s="146"/>
      <c r="Y304" s="146"/>
      <c r="Z304" s="146"/>
      <c r="AA304" s="146"/>
      <c r="AB304" s="146" t="s">
        <v>264</v>
      </c>
      <c r="AC304" s="146"/>
      <c r="AD304" s="146"/>
      <c r="AE304" s="146"/>
      <c r="AF304" s="146"/>
      <c r="AG304" s="146"/>
      <c r="AH304" s="146"/>
      <c r="AI304" s="146"/>
      <c r="AJ304" s="146"/>
      <c r="AK304" s="146"/>
      <c r="AL304" s="146"/>
      <c r="AM304" s="146"/>
      <c r="AN304" s="146"/>
      <c r="AO304" s="146"/>
      <c r="AP304" s="146"/>
      <c r="AQ304" s="146"/>
      <c r="AR304" s="146"/>
      <c r="AS304" s="146"/>
      <c r="AT304" s="146"/>
      <c r="AU304" s="146"/>
      <c r="AV304" s="146"/>
      <c r="AW304" s="146"/>
      <c r="AX304" s="146"/>
      <c r="AY304" s="146"/>
      <c r="AZ304" s="146"/>
      <c r="BA304" s="146"/>
      <c r="BB304" s="146"/>
      <c r="BC304" s="146"/>
      <c r="BD304" s="146"/>
      <c r="BE304" s="146"/>
      <c r="BF304" s="146"/>
      <c r="BG304" s="146"/>
      <c r="BH304" s="146"/>
      <c r="BI304" s="146"/>
      <c r="BJ304" s="146"/>
      <c r="BK304" s="146"/>
      <c r="BL304" s="146"/>
      <c r="BM304" s="146"/>
      <c r="BN304" s="67"/>
      <c r="BO304" s="67"/>
      <c r="BP304" s="67"/>
      <c r="BQ304" s="67"/>
      <c r="BR304" s="67"/>
      <c r="BS304" s="67"/>
      <c r="BT304" s="67"/>
      <c r="BU304" s="67"/>
      <c r="BV304" s="67"/>
      <c r="BW304" s="67"/>
      <c r="BX304" s="67"/>
      <c r="BY304" s="67"/>
      <c r="BZ304" s="67"/>
      <c r="CA304" s="67"/>
      <c r="CB304" s="67"/>
      <c r="CC304" s="67"/>
      <c r="CD304" s="67"/>
      <c r="CE304" s="67"/>
      <c r="CF304" s="67"/>
      <c r="CG304" s="67"/>
      <c r="CH304" s="67"/>
      <c r="CI304" s="67"/>
      <c r="CJ304" s="67"/>
      <c r="CK304" s="67"/>
      <c r="CL304" s="67"/>
      <c r="CM304" s="67"/>
      <c r="CN304" s="67"/>
      <c r="CO304" s="67"/>
      <c r="CP304" s="67"/>
      <c r="CQ304" s="67"/>
      <c r="CR304" s="67"/>
      <c r="CS304" s="67"/>
      <c r="CT304" s="67"/>
      <c r="CU304" s="67"/>
      <c r="CV304" s="67"/>
      <c r="CW304" s="67"/>
      <c r="CX304" s="67"/>
    </row>
    <row r="305" spans="16:102" s="123" customFormat="1" ht="14.5" x14ac:dyDescent="0.35">
      <c r="P305" s="146"/>
      <c r="Q305" s="146"/>
      <c r="R305" s="146"/>
      <c r="S305" s="146"/>
      <c r="T305" s="146"/>
      <c r="U305" s="146"/>
      <c r="V305" s="146"/>
      <c r="W305" s="146"/>
      <c r="X305" s="146"/>
      <c r="Y305" s="146"/>
      <c r="Z305" s="146"/>
      <c r="AA305" s="146"/>
      <c r="AB305" s="146" t="s">
        <v>265</v>
      </c>
      <c r="AC305" s="146"/>
      <c r="AD305" s="146"/>
      <c r="AE305" s="146"/>
      <c r="AF305" s="146"/>
      <c r="AG305" s="146"/>
      <c r="AH305" s="146"/>
      <c r="AI305" s="146"/>
      <c r="AJ305" s="146"/>
      <c r="AK305" s="146"/>
      <c r="AL305" s="146"/>
      <c r="AM305" s="146"/>
      <c r="AN305" s="146"/>
      <c r="AO305" s="146"/>
      <c r="AP305" s="146"/>
      <c r="AQ305" s="146"/>
      <c r="AR305" s="146"/>
      <c r="AS305" s="146"/>
      <c r="AT305" s="146"/>
      <c r="AU305" s="146"/>
      <c r="AV305" s="146"/>
      <c r="AW305" s="146"/>
      <c r="AX305" s="146"/>
      <c r="AY305" s="146"/>
      <c r="AZ305" s="146"/>
      <c r="BA305" s="146"/>
      <c r="BB305" s="146"/>
      <c r="BC305" s="146"/>
      <c r="BD305" s="146"/>
      <c r="BE305" s="146"/>
      <c r="BF305" s="146"/>
      <c r="BG305" s="146"/>
      <c r="BH305" s="146"/>
      <c r="BI305" s="146"/>
      <c r="BJ305" s="146"/>
      <c r="BK305" s="146"/>
      <c r="BL305" s="146"/>
      <c r="BM305" s="146"/>
      <c r="BN305" s="67"/>
      <c r="BO305" s="67"/>
      <c r="BP305" s="67"/>
      <c r="BQ305" s="67"/>
      <c r="BR305" s="67"/>
      <c r="BS305" s="67"/>
      <c r="BT305" s="67"/>
      <c r="BU305" s="67"/>
      <c r="BV305" s="67"/>
      <c r="BW305" s="67"/>
      <c r="BX305" s="67"/>
      <c r="BY305" s="67"/>
      <c r="BZ305" s="67"/>
      <c r="CA305" s="67"/>
      <c r="CB305" s="67"/>
      <c r="CC305" s="67"/>
      <c r="CD305" s="67"/>
      <c r="CE305" s="67"/>
      <c r="CF305" s="67"/>
      <c r="CG305" s="67"/>
      <c r="CH305" s="67"/>
      <c r="CI305" s="67"/>
      <c r="CJ305" s="67"/>
      <c r="CK305" s="67"/>
      <c r="CL305" s="67"/>
      <c r="CM305" s="67"/>
      <c r="CN305" s="67"/>
      <c r="CO305" s="67"/>
      <c r="CP305" s="67"/>
      <c r="CQ305" s="67"/>
      <c r="CR305" s="67"/>
      <c r="CS305" s="67"/>
      <c r="CT305" s="67"/>
      <c r="CU305" s="67"/>
      <c r="CV305" s="67"/>
      <c r="CW305" s="67"/>
      <c r="CX305" s="67"/>
    </row>
    <row r="306" spans="16:102" s="123" customFormat="1" ht="14.5" x14ac:dyDescent="0.35">
      <c r="P306" s="146"/>
      <c r="Q306" s="146"/>
      <c r="R306" s="146"/>
      <c r="S306" s="146"/>
      <c r="T306" s="146"/>
      <c r="U306" s="146"/>
      <c r="V306" s="146"/>
      <c r="W306" s="146"/>
      <c r="X306" s="146"/>
      <c r="Y306" s="146"/>
      <c r="Z306" s="146"/>
      <c r="AA306" s="146"/>
      <c r="AB306" s="146" t="s">
        <v>266</v>
      </c>
      <c r="AC306" s="146"/>
      <c r="AD306" s="146"/>
      <c r="AE306" s="146"/>
      <c r="AF306" s="146"/>
      <c r="AG306" s="146"/>
      <c r="AH306" s="146"/>
      <c r="AI306" s="146"/>
      <c r="AJ306" s="146"/>
      <c r="AK306" s="146"/>
      <c r="AL306" s="146"/>
      <c r="AM306" s="146"/>
      <c r="AN306" s="146"/>
      <c r="AO306" s="146"/>
      <c r="AP306" s="146"/>
      <c r="AQ306" s="146"/>
      <c r="AR306" s="146"/>
      <c r="AS306" s="146"/>
      <c r="AT306" s="146"/>
      <c r="AU306" s="146"/>
      <c r="AV306" s="146"/>
      <c r="AW306" s="146"/>
      <c r="AX306" s="146"/>
      <c r="AY306" s="146"/>
      <c r="AZ306" s="146"/>
      <c r="BA306" s="146"/>
      <c r="BB306" s="146"/>
      <c r="BC306" s="146"/>
      <c r="BD306" s="146"/>
      <c r="BE306" s="146"/>
      <c r="BF306" s="146"/>
      <c r="BG306" s="146"/>
      <c r="BH306" s="146"/>
      <c r="BI306" s="146"/>
      <c r="BJ306" s="146"/>
      <c r="BK306" s="146"/>
      <c r="BL306" s="146"/>
      <c r="BM306" s="146"/>
      <c r="BN306" s="67"/>
      <c r="BO306" s="67"/>
      <c r="BP306" s="67"/>
      <c r="BQ306" s="67"/>
      <c r="BR306" s="67"/>
      <c r="BS306" s="67"/>
      <c r="BT306" s="67"/>
      <c r="BU306" s="67"/>
      <c r="BV306" s="67"/>
      <c r="BW306" s="67"/>
      <c r="BX306" s="67"/>
      <c r="BY306" s="67"/>
      <c r="BZ306" s="67"/>
      <c r="CA306" s="67"/>
      <c r="CB306" s="67"/>
      <c r="CC306" s="67"/>
      <c r="CD306" s="67"/>
      <c r="CE306" s="67"/>
      <c r="CF306" s="67"/>
      <c r="CG306" s="67"/>
      <c r="CH306" s="67"/>
      <c r="CI306" s="67"/>
      <c r="CJ306" s="67"/>
      <c r="CK306" s="67"/>
      <c r="CL306" s="67"/>
      <c r="CM306" s="67"/>
      <c r="CN306" s="67"/>
      <c r="CO306" s="67"/>
      <c r="CP306" s="67"/>
      <c r="CQ306" s="67"/>
      <c r="CR306" s="67"/>
      <c r="CS306" s="67"/>
      <c r="CT306" s="67"/>
      <c r="CU306" s="67"/>
      <c r="CV306" s="67"/>
      <c r="CW306" s="67"/>
      <c r="CX306" s="67"/>
    </row>
    <row r="307" spans="16:102" s="123" customFormat="1" ht="14.5" x14ac:dyDescent="0.35">
      <c r="P307" s="146"/>
      <c r="Q307" s="146"/>
      <c r="R307" s="146"/>
      <c r="S307" s="146"/>
      <c r="T307" s="146"/>
      <c r="U307" s="146"/>
      <c r="V307" s="146"/>
      <c r="W307" s="146"/>
      <c r="X307" s="146"/>
      <c r="Y307" s="146"/>
      <c r="Z307" s="146"/>
      <c r="AA307" s="146"/>
      <c r="AB307" s="146" t="s">
        <v>267</v>
      </c>
      <c r="AC307" s="146"/>
      <c r="AD307" s="146"/>
      <c r="AE307" s="146"/>
      <c r="AF307" s="146"/>
      <c r="AG307" s="146"/>
      <c r="AH307" s="146"/>
      <c r="AI307" s="146"/>
      <c r="AJ307" s="146"/>
      <c r="AK307" s="146"/>
      <c r="AL307" s="146"/>
      <c r="AM307" s="146"/>
      <c r="AN307" s="146"/>
      <c r="AO307" s="146"/>
      <c r="AP307" s="146"/>
      <c r="AQ307" s="146"/>
      <c r="AR307" s="146"/>
      <c r="AS307" s="146"/>
      <c r="AT307" s="146"/>
      <c r="AU307" s="146"/>
      <c r="AV307" s="146"/>
      <c r="AW307" s="146"/>
      <c r="AX307" s="146"/>
      <c r="AY307" s="146"/>
      <c r="AZ307" s="146"/>
      <c r="BA307" s="146"/>
      <c r="BB307" s="146"/>
      <c r="BC307" s="146"/>
      <c r="BD307" s="146"/>
      <c r="BE307" s="146"/>
      <c r="BF307" s="146"/>
      <c r="BG307" s="146"/>
      <c r="BH307" s="146"/>
      <c r="BI307" s="146"/>
      <c r="BJ307" s="146"/>
      <c r="BK307" s="146"/>
      <c r="BL307" s="146"/>
      <c r="BM307" s="146"/>
      <c r="BN307" s="67"/>
      <c r="BO307" s="67"/>
      <c r="BP307" s="67"/>
      <c r="BQ307" s="67"/>
      <c r="BR307" s="67"/>
      <c r="BS307" s="67"/>
      <c r="BT307" s="67"/>
      <c r="BU307" s="67"/>
      <c r="BV307" s="67"/>
      <c r="BW307" s="67"/>
      <c r="BX307" s="67"/>
      <c r="BY307" s="67"/>
      <c r="BZ307" s="67"/>
      <c r="CA307" s="67"/>
      <c r="CB307" s="67"/>
      <c r="CC307" s="67"/>
      <c r="CD307" s="67"/>
      <c r="CE307" s="67"/>
      <c r="CF307" s="67"/>
      <c r="CG307" s="67"/>
      <c r="CH307" s="67"/>
      <c r="CI307" s="67"/>
      <c r="CJ307" s="67"/>
      <c r="CK307" s="67"/>
      <c r="CL307" s="67"/>
      <c r="CM307" s="67"/>
      <c r="CN307" s="67"/>
      <c r="CO307" s="67"/>
      <c r="CP307" s="67"/>
      <c r="CQ307" s="67"/>
      <c r="CR307" s="67"/>
      <c r="CS307" s="67"/>
      <c r="CT307" s="67"/>
      <c r="CU307" s="67"/>
      <c r="CV307" s="67"/>
      <c r="CW307" s="67"/>
      <c r="CX307" s="67"/>
    </row>
    <row r="308" spans="16:102" s="123" customFormat="1" ht="14.5" x14ac:dyDescent="0.35">
      <c r="P308" s="146"/>
      <c r="Q308" s="146"/>
      <c r="R308" s="146"/>
      <c r="S308" s="146"/>
      <c r="T308" s="146"/>
      <c r="U308" s="146"/>
      <c r="V308" s="146"/>
      <c r="W308" s="146"/>
      <c r="X308" s="146"/>
      <c r="Y308" s="146"/>
      <c r="Z308" s="146"/>
      <c r="AA308" s="146"/>
      <c r="AB308" s="146" t="s">
        <v>268</v>
      </c>
      <c r="AC308" s="146"/>
      <c r="AD308" s="146"/>
      <c r="AE308" s="146"/>
      <c r="AF308" s="146"/>
      <c r="AG308" s="146"/>
      <c r="AH308" s="146"/>
      <c r="AI308" s="146"/>
      <c r="AJ308" s="146"/>
      <c r="AK308" s="146"/>
      <c r="AL308" s="146"/>
      <c r="AM308" s="146"/>
      <c r="AN308" s="146"/>
      <c r="AO308" s="146"/>
      <c r="AP308" s="146"/>
      <c r="AQ308" s="146"/>
      <c r="AR308" s="146"/>
      <c r="AS308" s="146"/>
      <c r="AT308" s="146"/>
      <c r="AU308" s="146"/>
      <c r="AV308" s="146"/>
      <c r="AW308" s="146"/>
      <c r="AX308" s="146"/>
      <c r="AY308" s="146"/>
      <c r="AZ308" s="146"/>
      <c r="BA308" s="146"/>
      <c r="BB308" s="146"/>
      <c r="BC308" s="146"/>
      <c r="BD308" s="146"/>
      <c r="BE308" s="146"/>
      <c r="BF308" s="146"/>
      <c r="BG308" s="146"/>
      <c r="BH308" s="146"/>
      <c r="BI308" s="146"/>
      <c r="BJ308" s="146"/>
      <c r="BK308" s="146"/>
      <c r="BL308" s="146"/>
      <c r="BM308" s="146"/>
      <c r="BN308" s="67"/>
      <c r="BO308" s="67"/>
      <c r="BP308" s="67"/>
      <c r="BQ308" s="67"/>
      <c r="BR308" s="67"/>
      <c r="BS308" s="67"/>
      <c r="BT308" s="67"/>
      <c r="BU308" s="67"/>
      <c r="BV308" s="67"/>
      <c r="BW308" s="67"/>
      <c r="BX308" s="67"/>
      <c r="BY308" s="67"/>
      <c r="BZ308" s="67"/>
      <c r="CA308" s="67"/>
      <c r="CB308" s="67"/>
      <c r="CC308" s="67"/>
      <c r="CD308" s="67"/>
      <c r="CE308" s="67"/>
      <c r="CF308" s="67"/>
      <c r="CG308" s="67"/>
      <c r="CH308" s="67"/>
      <c r="CI308" s="67"/>
      <c r="CJ308" s="67"/>
      <c r="CK308" s="67"/>
      <c r="CL308" s="67"/>
      <c r="CM308" s="67"/>
      <c r="CN308" s="67"/>
      <c r="CO308" s="67"/>
      <c r="CP308" s="67"/>
      <c r="CQ308" s="67"/>
      <c r="CR308" s="67"/>
      <c r="CS308" s="67"/>
      <c r="CT308" s="67"/>
      <c r="CU308" s="67"/>
      <c r="CV308" s="67"/>
      <c r="CW308" s="67"/>
      <c r="CX308" s="67"/>
    </row>
    <row r="309" spans="16:102" s="123" customFormat="1" ht="14.5" x14ac:dyDescent="0.35">
      <c r="P309" s="146"/>
      <c r="Q309" s="146"/>
      <c r="R309" s="146"/>
      <c r="S309" s="146"/>
      <c r="T309" s="146"/>
      <c r="U309" s="146"/>
      <c r="V309" s="146"/>
      <c r="W309" s="146"/>
      <c r="X309" s="146"/>
      <c r="Y309" s="146"/>
      <c r="Z309" s="146"/>
      <c r="AA309" s="146"/>
      <c r="AB309" s="146" t="s">
        <v>269</v>
      </c>
      <c r="AC309" s="146"/>
      <c r="AD309" s="146"/>
      <c r="AE309" s="146"/>
      <c r="AF309" s="146"/>
      <c r="AG309" s="146"/>
      <c r="AH309" s="146"/>
      <c r="AI309" s="146"/>
      <c r="AJ309" s="146"/>
      <c r="AK309" s="146"/>
      <c r="AL309" s="146"/>
      <c r="AM309" s="146"/>
      <c r="AN309" s="146"/>
      <c r="AO309" s="146"/>
      <c r="AP309" s="146"/>
      <c r="AQ309" s="146"/>
      <c r="AR309" s="146"/>
      <c r="AS309" s="146"/>
      <c r="AT309" s="146"/>
      <c r="AU309" s="146"/>
      <c r="AV309" s="146"/>
      <c r="AW309" s="146"/>
      <c r="AX309" s="146"/>
      <c r="AY309" s="146"/>
      <c r="AZ309" s="146"/>
      <c r="BA309" s="146"/>
      <c r="BB309" s="146"/>
      <c r="BC309" s="146"/>
      <c r="BD309" s="146"/>
      <c r="BE309" s="146"/>
      <c r="BF309" s="146"/>
      <c r="BG309" s="146"/>
      <c r="BH309" s="146"/>
      <c r="BI309" s="146"/>
      <c r="BJ309" s="146"/>
      <c r="BK309" s="146"/>
      <c r="BL309" s="146"/>
      <c r="BM309" s="146"/>
      <c r="BN309" s="67"/>
      <c r="BO309" s="67"/>
      <c r="BP309" s="67"/>
      <c r="BQ309" s="67"/>
      <c r="BR309" s="67"/>
      <c r="BS309" s="67"/>
      <c r="BT309" s="67"/>
      <c r="BU309" s="67"/>
      <c r="BV309" s="67"/>
      <c r="BW309" s="67"/>
      <c r="BX309" s="67"/>
      <c r="BY309" s="67"/>
      <c r="BZ309" s="67"/>
      <c r="CA309" s="67"/>
      <c r="CB309" s="67"/>
      <c r="CC309" s="67"/>
      <c r="CD309" s="67"/>
      <c r="CE309" s="67"/>
      <c r="CF309" s="67"/>
      <c r="CG309" s="67"/>
      <c r="CH309" s="67"/>
      <c r="CI309" s="67"/>
      <c r="CJ309" s="67"/>
      <c r="CK309" s="67"/>
      <c r="CL309" s="67"/>
      <c r="CM309" s="67"/>
      <c r="CN309" s="67"/>
      <c r="CO309" s="67"/>
      <c r="CP309" s="67"/>
      <c r="CQ309" s="67"/>
      <c r="CR309" s="67"/>
      <c r="CS309" s="67"/>
      <c r="CT309" s="67"/>
      <c r="CU309" s="67"/>
      <c r="CV309" s="67"/>
      <c r="CW309" s="67"/>
      <c r="CX309" s="67"/>
    </row>
    <row r="310" spans="16:102" s="123" customFormat="1" ht="14.5" x14ac:dyDescent="0.35">
      <c r="P310" s="146"/>
      <c r="Q310" s="146"/>
      <c r="R310" s="146"/>
      <c r="S310" s="146"/>
      <c r="T310" s="146"/>
      <c r="U310" s="146"/>
      <c r="V310" s="146"/>
      <c r="W310" s="146"/>
      <c r="X310" s="146"/>
      <c r="Y310" s="146"/>
      <c r="Z310" s="146"/>
      <c r="AA310" s="146"/>
      <c r="AB310" s="146" t="s">
        <v>270</v>
      </c>
      <c r="AC310" s="146"/>
      <c r="AD310" s="146"/>
      <c r="AE310" s="146"/>
      <c r="AF310" s="146"/>
      <c r="AG310" s="146"/>
      <c r="AH310" s="146"/>
      <c r="AI310" s="146"/>
      <c r="AJ310" s="146"/>
      <c r="AK310" s="146"/>
      <c r="AL310" s="146"/>
      <c r="AM310" s="146"/>
      <c r="AN310" s="146"/>
      <c r="AO310" s="146"/>
      <c r="AP310" s="146"/>
      <c r="AQ310" s="146"/>
      <c r="AR310" s="146"/>
      <c r="AS310" s="146"/>
      <c r="AT310" s="146"/>
      <c r="AU310" s="146"/>
      <c r="AV310" s="146"/>
      <c r="AW310" s="146"/>
      <c r="AX310" s="146"/>
      <c r="AY310" s="146"/>
      <c r="AZ310" s="146"/>
      <c r="BA310" s="146"/>
      <c r="BB310" s="146"/>
      <c r="BC310" s="146"/>
      <c r="BD310" s="146"/>
      <c r="BE310" s="146"/>
      <c r="BF310" s="146"/>
      <c r="BG310" s="146"/>
      <c r="BH310" s="146"/>
      <c r="BI310" s="146"/>
      <c r="BJ310" s="146"/>
      <c r="BK310" s="146"/>
      <c r="BL310" s="146"/>
      <c r="BM310" s="146"/>
      <c r="BN310" s="67"/>
      <c r="BO310" s="67"/>
      <c r="BP310" s="67"/>
      <c r="BQ310" s="67"/>
      <c r="BR310" s="67"/>
      <c r="BS310" s="67"/>
      <c r="BT310" s="67"/>
      <c r="BU310" s="67"/>
      <c r="BV310" s="67"/>
      <c r="BW310" s="67"/>
      <c r="BX310" s="67"/>
      <c r="BY310" s="67"/>
      <c r="BZ310" s="67"/>
      <c r="CA310" s="67"/>
      <c r="CB310" s="67"/>
      <c r="CC310" s="67"/>
      <c r="CD310" s="67"/>
      <c r="CE310" s="67"/>
      <c r="CF310" s="67"/>
      <c r="CG310" s="67"/>
      <c r="CH310" s="67"/>
      <c r="CI310" s="67"/>
      <c r="CJ310" s="67"/>
      <c r="CK310" s="67"/>
      <c r="CL310" s="67"/>
      <c r="CM310" s="67"/>
      <c r="CN310" s="67"/>
      <c r="CO310" s="67"/>
      <c r="CP310" s="67"/>
      <c r="CQ310" s="67"/>
      <c r="CR310" s="67"/>
      <c r="CS310" s="67"/>
      <c r="CT310" s="67"/>
      <c r="CU310" s="67"/>
      <c r="CV310" s="67"/>
      <c r="CW310" s="67"/>
      <c r="CX310" s="67"/>
    </row>
    <row r="311" spans="16:102" s="123" customFormat="1" ht="14.5" x14ac:dyDescent="0.35">
      <c r="P311" s="146"/>
      <c r="Q311" s="146"/>
      <c r="R311" s="146"/>
      <c r="S311" s="146"/>
      <c r="T311" s="146"/>
      <c r="U311" s="146"/>
      <c r="V311" s="146"/>
      <c r="W311" s="146"/>
      <c r="X311" s="146"/>
      <c r="Y311" s="146"/>
      <c r="Z311" s="146"/>
      <c r="AA311" s="146"/>
      <c r="AB311" s="146" t="s">
        <v>271</v>
      </c>
      <c r="AC311" s="146"/>
      <c r="AD311" s="146"/>
      <c r="AE311" s="146"/>
      <c r="AF311" s="146"/>
      <c r="AG311" s="146"/>
      <c r="AH311" s="146"/>
      <c r="AI311" s="146"/>
      <c r="AJ311" s="146"/>
      <c r="AK311" s="146"/>
      <c r="AL311" s="146"/>
      <c r="AM311" s="146"/>
      <c r="AN311" s="146"/>
      <c r="AO311" s="146"/>
      <c r="AP311" s="146"/>
      <c r="AQ311" s="146"/>
      <c r="AR311" s="146"/>
      <c r="AS311" s="146"/>
      <c r="AT311" s="146"/>
      <c r="AU311" s="146"/>
      <c r="AV311" s="146"/>
      <c r="AW311" s="146"/>
      <c r="AX311" s="146"/>
      <c r="AY311" s="146"/>
      <c r="AZ311" s="146"/>
      <c r="BA311" s="146"/>
      <c r="BB311" s="146"/>
      <c r="BC311" s="146"/>
      <c r="BD311" s="146"/>
      <c r="BE311" s="146"/>
      <c r="BF311" s="146"/>
      <c r="BG311" s="146"/>
      <c r="BH311" s="146"/>
      <c r="BI311" s="146"/>
      <c r="BJ311" s="146"/>
      <c r="BK311" s="146"/>
      <c r="BL311" s="146"/>
      <c r="BM311" s="146"/>
      <c r="BN311" s="67"/>
      <c r="BO311" s="67"/>
      <c r="BP311" s="67"/>
      <c r="BQ311" s="67"/>
      <c r="BR311" s="67"/>
      <c r="BS311" s="67"/>
      <c r="BT311" s="67"/>
      <c r="BU311" s="67"/>
      <c r="BV311" s="67"/>
      <c r="BW311" s="67"/>
      <c r="BX311" s="67"/>
      <c r="BY311" s="67"/>
      <c r="BZ311" s="67"/>
      <c r="CA311" s="67"/>
      <c r="CB311" s="67"/>
      <c r="CC311" s="67"/>
      <c r="CD311" s="67"/>
      <c r="CE311" s="67"/>
      <c r="CF311" s="67"/>
      <c r="CG311" s="67"/>
      <c r="CH311" s="67"/>
      <c r="CI311" s="67"/>
      <c r="CJ311" s="67"/>
      <c r="CK311" s="67"/>
      <c r="CL311" s="67"/>
      <c r="CM311" s="67"/>
      <c r="CN311" s="67"/>
      <c r="CO311" s="67"/>
      <c r="CP311" s="67"/>
      <c r="CQ311" s="67"/>
      <c r="CR311" s="67"/>
      <c r="CS311" s="67"/>
      <c r="CT311" s="67"/>
      <c r="CU311" s="67"/>
      <c r="CV311" s="67"/>
      <c r="CW311" s="67"/>
      <c r="CX311" s="67"/>
    </row>
    <row r="312" spans="16:102" s="123" customFormat="1" ht="14.5" x14ac:dyDescent="0.35">
      <c r="P312" s="146"/>
      <c r="Q312" s="146"/>
      <c r="R312" s="146"/>
      <c r="S312" s="146"/>
      <c r="T312" s="146"/>
      <c r="U312" s="146"/>
      <c r="V312" s="146"/>
      <c r="W312" s="146"/>
      <c r="X312" s="146"/>
      <c r="Y312" s="146"/>
      <c r="Z312" s="146"/>
      <c r="AA312" s="146"/>
      <c r="AB312" s="146" t="s">
        <v>272</v>
      </c>
      <c r="AC312" s="146"/>
      <c r="AD312" s="146"/>
      <c r="AE312" s="146"/>
      <c r="AF312" s="146"/>
      <c r="AG312" s="146"/>
      <c r="AH312" s="146"/>
      <c r="AI312" s="146"/>
      <c r="AJ312" s="146"/>
      <c r="AK312" s="146"/>
      <c r="AL312" s="146"/>
      <c r="AM312" s="146"/>
      <c r="AN312" s="146"/>
      <c r="AO312" s="146"/>
      <c r="AP312" s="146"/>
      <c r="AQ312" s="146"/>
      <c r="AR312" s="146"/>
      <c r="AS312" s="146"/>
      <c r="AT312" s="146"/>
      <c r="AU312" s="146"/>
      <c r="AV312" s="146"/>
      <c r="AW312" s="146"/>
      <c r="AX312" s="146"/>
      <c r="AY312" s="146"/>
      <c r="AZ312" s="146"/>
      <c r="BA312" s="146"/>
      <c r="BB312" s="146"/>
      <c r="BC312" s="146"/>
      <c r="BD312" s="146"/>
      <c r="BE312" s="146"/>
      <c r="BF312" s="146"/>
      <c r="BG312" s="146"/>
      <c r="BH312" s="146"/>
      <c r="BI312" s="146"/>
      <c r="BJ312" s="146"/>
      <c r="BK312" s="146"/>
      <c r="BL312" s="146"/>
      <c r="BM312" s="146"/>
      <c r="BN312" s="67"/>
      <c r="BO312" s="67"/>
      <c r="BP312" s="67"/>
      <c r="BQ312" s="67"/>
      <c r="BR312" s="67"/>
      <c r="BS312" s="67"/>
      <c r="BT312" s="67"/>
      <c r="BU312" s="67"/>
      <c r="BV312" s="67"/>
      <c r="BW312" s="67"/>
      <c r="BX312" s="67"/>
      <c r="BY312" s="67"/>
      <c r="BZ312" s="67"/>
      <c r="CA312" s="67"/>
      <c r="CB312" s="67"/>
      <c r="CC312" s="67"/>
      <c r="CD312" s="67"/>
      <c r="CE312" s="67"/>
      <c r="CF312" s="67"/>
      <c r="CG312" s="67"/>
      <c r="CH312" s="67"/>
      <c r="CI312" s="67"/>
      <c r="CJ312" s="67"/>
      <c r="CK312" s="67"/>
      <c r="CL312" s="67"/>
      <c r="CM312" s="67"/>
      <c r="CN312" s="67"/>
      <c r="CO312" s="67"/>
      <c r="CP312" s="67"/>
      <c r="CQ312" s="67"/>
      <c r="CR312" s="67"/>
      <c r="CS312" s="67"/>
      <c r="CT312" s="67"/>
      <c r="CU312" s="67"/>
      <c r="CV312" s="67"/>
      <c r="CW312" s="67"/>
      <c r="CX312" s="67"/>
    </row>
    <row r="313" spans="16:102" s="123" customFormat="1" ht="14.5" x14ac:dyDescent="0.35">
      <c r="P313" s="146"/>
      <c r="Q313" s="146"/>
      <c r="R313" s="146"/>
      <c r="S313" s="146"/>
      <c r="T313" s="146"/>
      <c r="U313" s="146"/>
      <c r="V313" s="146"/>
      <c r="W313" s="146"/>
      <c r="X313" s="146"/>
      <c r="Y313" s="146"/>
      <c r="Z313" s="146"/>
      <c r="AA313" s="146"/>
      <c r="AB313" s="146" t="s">
        <v>273</v>
      </c>
      <c r="AC313" s="146"/>
      <c r="AD313" s="146"/>
      <c r="AE313" s="146"/>
      <c r="AF313" s="146"/>
      <c r="AG313" s="146"/>
      <c r="AH313" s="146"/>
      <c r="AI313" s="146"/>
      <c r="AJ313" s="146"/>
      <c r="AK313" s="146"/>
      <c r="AL313" s="146"/>
      <c r="AM313" s="146"/>
      <c r="AN313" s="146"/>
      <c r="AO313" s="146"/>
      <c r="AP313" s="146"/>
      <c r="AQ313" s="146"/>
      <c r="AR313" s="146"/>
      <c r="AS313" s="146"/>
      <c r="AT313" s="146"/>
      <c r="AU313" s="146"/>
      <c r="AV313" s="146"/>
      <c r="AW313" s="146"/>
      <c r="AX313" s="146"/>
      <c r="AY313" s="146"/>
      <c r="AZ313" s="146"/>
      <c r="BA313" s="146"/>
      <c r="BB313" s="146"/>
      <c r="BC313" s="146"/>
      <c r="BD313" s="146"/>
      <c r="BE313" s="146"/>
      <c r="BF313" s="146"/>
      <c r="BG313" s="146"/>
      <c r="BH313" s="146"/>
      <c r="BI313" s="146"/>
      <c r="BJ313" s="146"/>
      <c r="BK313" s="146"/>
      <c r="BL313" s="146"/>
      <c r="BM313" s="146"/>
      <c r="BN313" s="67"/>
      <c r="BO313" s="67"/>
      <c r="BP313" s="67"/>
      <c r="BQ313" s="67"/>
      <c r="BR313" s="67"/>
      <c r="BS313" s="67"/>
      <c r="BT313" s="67"/>
      <c r="BU313" s="67"/>
      <c r="BV313" s="67"/>
      <c r="BW313" s="67"/>
      <c r="BX313" s="67"/>
      <c r="BY313" s="67"/>
      <c r="BZ313" s="67"/>
      <c r="CA313" s="67"/>
      <c r="CB313" s="67"/>
      <c r="CC313" s="67"/>
      <c r="CD313" s="67"/>
      <c r="CE313" s="67"/>
      <c r="CF313" s="67"/>
      <c r="CG313" s="67"/>
      <c r="CH313" s="67"/>
      <c r="CI313" s="67"/>
      <c r="CJ313" s="67"/>
      <c r="CK313" s="67"/>
      <c r="CL313" s="67"/>
      <c r="CM313" s="67"/>
      <c r="CN313" s="67"/>
      <c r="CO313" s="67"/>
      <c r="CP313" s="67"/>
      <c r="CQ313" s="67"/>
      <c r="CR313" s="67"/>
      <c r="CS313" s="67"/>
      <c r="CT313" s="67"/>
      <c r="CU313" s="67"/>
      <c r="CV313" s="67"/>
      <c r="CW313" s="67"/>
      <c r="CX313" s="67"/>
    </row>
    <row r="314" spans="16:102" s="123" customFormat="1" ht="14.5" x14ac:dyDescent="0.35">
      <c r="P314" s="146"/>
      <c r="Q314" s="146"/>
      <c r="R314" s="146"/>
      <c r="S314" s="146"/>
      <c r="T314" s="146"/>
      <c r="U314" s="146"/>
      <c r="V314" s="146"/>
      <c r="W314" s="146"/>
      <c r="X314" s="146"/>
      <c r="Y314" s="146"/>
      <c r="Z314" s="146"/>
      <c r="AA314" s="146"/>
      <c r="AB314" s="146" t="s">
        <v>274</v>
      </c>
      <c r="AC314" s="146"/>
      <c r="AD314" s="146"/>
      <c r="AE314" s="146"/>
      <c r="AF314" s="146"/>
      <c r="AG314" s="146"/>
      <c r="AH314" s="146"/>
      <c r="AI314" s="146"/>
      <c r="AJ314" s="146"/>
      <c r="AK314" s="146"/>
      <c r="AL314" s="146"/>
      <c r="AM314" s="146"/>
      <c r="AN314" s="146"/>
      <c r="AO314" s="146"/>
      <c r="AP314" s="146"/>
      <c r="AQ314" s="146"/>
      <c r="AR314" s="146"/>
      <c r="AS314" s="146"/>
      <c r="AT314" s="146"/>
      <c r="AU314" s="146"/>
      <c r="AV314" s="146"/>
      <c r="AW314" s="146"/>
      <c r="AX314" s="146"/>
      <c r="AY314" s="146"/>
      <c r="AZ314" s="146"/>
      <c r="BA314" s="146"/>
      <c r="BB314" s="146"/>
      <c r="BC314" s="146"/>
      <c r="BD314" s="146"/>
      <c r="BE314" s="146"/>
      <c r="BF314" s="146"/>
      <c r="BG314" s="146"/>
      <c r="BH314" s="146"/>
      <c r="BI314" s="146"/>
      <c r="BJ314" s="146"/>
      <c r="BK314" s="146"/>
      <c r="BL314" s="146"/>
      <c r="BM314" s="146"/>
      <c r="BN314" s="67"/>
      <c r="BO314" s="67"/>
      <c r="BP314" s="67"/>
      <c r="BQ314" s="67"/>
      <c r="BR314" s="67"/>
      <c r="BS314" s="67"/>
      <c r="BT314" s="67"/>
      <c r="BU314" s="67"/>
      <c r="BV314" s="67"/>
      <c r="BW314" s="67"/>
      <c r="BX314" s="67"/>
      <c r="BY314" s="67"/>
      <c r="BZ314" s="67"/>
      <c r="CA314" s="67"/>
      <c r="CB314" s="67"/>
      <c r="CC314" s="67"/>
      <c r="CD314" s="67"/>
      <c r="CE314" s="67"/>
      <c r="CF314" s="67"/>
      <c r="CG314" s="67"/>
      <c r="CH314" s="67"/>
      <c r="CI314" s="67"/>
      <c r="CJ314" s="67"/>
      <c r="CK314" s="67"/>
      <c r="CL314" s="67"/>
      <c r="CM314" s="67"/>
      <c r="CN314" s="67"/>
      <c r="CO314" s="67"/>
      <c r="CP314" s="67"/>
      <c r="CQ314" s="67"/>
      <c r="CR314" s="67"/>
      <c r="CS314" s="67"/>
      <c r="CT314" s="67"/>
      <c r="CU314" s="67"/>
      <c r="CV314" s="67"/>
      <c r="CW314" s="67"/>
      <c r="CX314" s="67"/>
    </row>
    <row r="315" spans="16:102" ht="14.5" x14ac:dyDescent="0.35">
      <c r="AB315" s="146" t="s">
        <v>275</v>
      </c>
    </row>
    <row r="316" spans="16:102" ht="14.5" x14ac:dyDescent="0.35">
      <c r="AB316" s="146" t="s">
        <v>276</v>
      </c>
    </row>
    <row r="317" spans="16:102" ht="14.5" x14ac:dyDescent="0.35">
      <c r="AB317" s="146" t="s">
        <v>277</v>
      </c>
    </row>
    <row r="318" spans="16:102" ht="14.5" x14ac:dyDescent="0.35">
      <c r="AB318" s="146" t="s">
        <v>278</v>
      </c>
    </row>
    <row r="319" spans="16:102" ht="14.5" x14ac:dyDescent="0.35">
      <c r="AB319" s="146" t="s">
        <v>279</v>
      </c>
    </row>
    <row r="320" spans="16:102" ht="14.5" x14ac:dyDescent="0.35">
      <c r="AB320" s="146" t="s">
        <v>280</v>
      </c>
    </row>
    <row r="321" spans="28:28" ht="14.5" x14ac:dyDescent="0.35">
      <c r="AB321" s="146" t="s">
        <v>281</v>
      </c>
    </row>
    <row r="322" spans="28:28" ht="14.5" x14ac:dyDescent="0.35">
      <c r="AB322" s="146" t="s">
        <v>282</v>
      </c>
    </row>
    <row r="323" spans="28:28" ht="14.5" x14ac:dyDescent="0.35">
      <c r="AB323" s="146" t="s">
        <v>283</v>
      </c>
    </row>
    <row r="324" spans="28:28" ht="14.5" x14ac:dyDescent="0.35">
      <c r="AB324" s="146" t="s">
        <v>284</v>
      </c>
    </row>
    <row r="325" spans="28:28" ht="14.5" x14ac:dyDescent="0.35">
      <c r="AB325" s="146" t="s">
        <v>285</v>
      </c>
    </row>
    <row r="326" spans="28:28" ht="14.5" x14ac:dyDescent="0.35">
      <c r="AB326" s="146" t="s">
        <v>286</v>
      </c>
    </row>
    <row r="327" spans="28:28" ht="14.5" x14ac:dyDescent="0.35">
      <c r="AB327" s="146" t="s">
        <v>287</v>
      </c>
    </row>
    <row r="328" spans="28:28" ht="14.5" x14ac:dyDescent="0.35">
      <c r="AB328" s="146" t="s">
        <v>288</v>
      </c>
    </row>
    <row r="329" spans="28:28" ht="14.5" x14ac:dyDescent="0.35">
      <c r="AB329" s="146" t="s">
        <v>289</v>
      </c>
    </row>
    <row r="330" spans="28:28" ht="14.5" x14ac:dyDescent="0.35">
      <c r="AB330" s="146" t="s">
        <v>290</v>
      </c>
    </row>
    <row r="331" spans="28:28" ht="14.5" x14ac:dyDescent="0.35">
      <c r="AB331" s="146" t="s">
        <v>291</v>
      </c>
    </row>
    <row r="332" spans="28:28" ht="14.5" x14ac:dyDescent="0.35">
      <c r="AB332" s="146" t="s">
        <v>292</v>
      </c>
    </row>
    <row r="333" spans="28:28" ht="14.5" x14ac:dyDescent="0.35">
      <c r="AB333" s="146" t="s">
        <v>293</v>
      </c>
    </row>
    <row r="334" spans="28:28" ht="14.5" x14ac:dyDescent="0.35">
      <c r="AB334" s="146" t="s">
        <v>294</v>
      </c>
    </row>
    <row r="335" spans="28:28" ht="14.5" x14ac:dyDescent="0.35">
      <c r="AB335" s="146" t="s">
        <v>295</v>
      </c>
    </row>
    <row r="336" spans="28:28" ht="14.5" x14ac:dyDescent="0.35">
      <c r="AB336" s="146" t="s">
        <v>296</v>
      </c>
    </row>
    <row r="337" spans="28:28" ht="14.5" x14ac:dyDescent="0.35">
      <c r="AB337" s="146" t="s">
        <v>297</v>
      </c>
    </row>
    <row r="338" spans="28:28" ht="14.5" x14ac:dyDescent="0.35">
      <c r="AB338" s="146" t="s">
        <v>298</v>
      </c>
    </row>
    <row r="339" spans="28:28" ht="14.5" x14ac:dyDescent="0.35">
      <c r="AB339" s="146" t="s">
        <v>299</v>
      </c>
    </row>
    <row r="340" spans="28:28" ht="14.5" x14ac:dyDescent="0.35">
      <c r="AB340" s="146" t="s">
        <v>300</v>
      </c>
    </row>
    <row r="341" spans="28:28" ht="14.5" x14ac:dyDescent="0.35">
      <c r="AB341" s="146" t="s">
        <v>301</v>
      </c>
    </row>
    <row r="342" spans="28:28" ht="14.5" x14ac:dyDescent="0.35">
      <c r="AB342" s="146" t="s">
        <v>302</v>
      </c>
    </row>
    <row r="343" spans="28:28" ht="14.5" x14ac:dyDescent="0.35">
      <c r="AB343" s="146" t="s">
        <v>303</v>
      </c>
    </row>
    <row r="344" spans="28:28" ht="14.5" x14ac:dyDescent="0.35">
      <c r="AB344" s="146" t="s">
        <v>304</v>
      </c>
    </row>
    <row r="345" spans="28:28" ht="14.5" x14ac:dyDescent="0.35">
      <c r="AB345" s="146" t="s">
        <v>305</v>
      </c>
    </row>
    <row r="346" spans="28:28" ht="14.5" x14ac:dyDescent="0.35">
      <c r="AB346" s="146" t="s">
        <v>306</v>
      </c>
    </row>
    <row r="347" spans="28:28" ht="14.5" x14ac:dyDescent="0.35">
      <c r="AB347" s="146" t="s">
        <v>307</v>
      </c>
    </row>
    <row r="348" spans="28:28" ht="14.5" x14ac:dyDescent="0.35">
      <c r="AB348" s="146" t="s">
        <v>308</v>
      </c>
    </row>
    <row r="349" spans="28:28" ht="14.5" x14ac:dyDescent="0.35">
      <c r="AB349" s="146" t="s">
        <v>309</v>
      </c>
    </row>
    <row r="350" spans="28:28" ht="14.5" x14ac:dyDescent="0.35">
      <c r="AB350" s="146" t="s">
        <v>310</v>
      </c>
    </row>
    <row r="351" spans="28:28" ht="14.5" x14ac:dyDescent="0.35">
      <c r="AB351" s="146" t="s">
        <v>311</v>
      </c>
    </row>
    <row r="352" spans="28:28" ht="14.5" x14ac:dyDescent="0.35">
      <c r="AB352" s="146" t="s">
        <v>312</v>
      </c>
    </row>
    <row r="353" spans="28:28" ht="14.5" x14ac:dyDescent="0.35">
      <c r="AB353" s="146" t="s">
        <v>313</v>
      </c>
    </row>
    <row r="354" spans="28:28" ht="14.5" x14ac:dyDescent="0.35">
      <c r="AB354" s="146" t="s">
        <v>314</v>
      </c>
    </row>
    <row r="355" spans="28:28" ht="14.5" x14ac:dyDescent="0.35">
      <c r="AB355" s="146" t="s">
        <v>315</v>
      </c>
    </row>
    <row r="356" spans="28:28" ht="14.5" x14ac:dyDescent="0.35">
      <c r="AB356" s="146" t="s">
        <v>316</v>
      </c>
    </row>
    <row r="357" spans="28:28" ht="14.5" x14ac:dyDescent="0.35">
      <c r="AB357" s="146" t="s">
        <v>317</v>
      </c>
    </row>
    <row r="358" spans="28:28" ht="14.5" x14ac:dyDescent="0.35">
      <c r="AB358" s="146" t="s">
        <v>318</v>
      </c>
    </row>
    <row r="359" spans="28:28" ht="14.5" x14ac:dyDescent="0.35">
      <c r="AB359" s="146" t="s">
        <v>319</v>
      </c>
    </row>
    <row r="360" spans="28:28" ht="14.5" x14ac:dyDescent="0.35">
      <c r="AB360" s="146" t="s">
        <v>320</v>
      </c>
    </row>
    <row r="361" spans="28:28" ht="14.5" x14ac:dyDescent="0.35">
      <c r="AB361" s="146" t="s">
        <v>321</v>
      </c>
    </row>
    <row r="362" spans="28:28" ht="14.5" x14ac:dyDescent="0.35">
      <c r="AB362" s="146" t="s">
        <v>322</v>
      </c>
    </row>
    <row r="363" spans="28:28" ht="14.5" x14ac:dyDescent="0.35">
      <c r="AB363" s="146" t="s">
        <v>323</v>
      </c>
    </row>
    <row r="364" spans="28:28" ht="14.5" x14ac:dyDescent="0.35">
      <c r="AB364" s="146" t="s">
        <v>324</v>
      </c>
    </row>
    <row r="365" spans="28:28" ht="14.5" x14ac:dyDescent="0.35">
      <c r="AB365" s="146" t="s">
        <v>325</v>
      </c>
    </row>
    <row r="366" spans="28:28" ht="14.5" x14ac:dyDescent="0.35">
      <c r="AB366" s="146" t="s">
        <v>326</v>
      </c>
    </row>
    <row r="367" spans="28:28" ht="14.5" x14ac:dyDescent="0.35">
      <c r="AB367" s="146" t="s">
        <v>327</v>
      </c>
    </row>
    <row r="368" spans="28:28" ht="14.5" x14ac:dyDescent="0.35">
      <c r="AB368" s="146" t="s">
        <v>328</v>
      </c>
    </row>
    <row r="369" spans="28:28" ht="14.5" x14ac:dyDescent="0.35">
      <c r="AB369" s="146" t="s">
        <v>329</v>
      </c>
    </row>
    <row r="370" spans="28:28" ht="14.5" x14ac:dyDescent="0.35">
      <c r="AB370" s="146" t="s">
        <v>330</v>
      </c>
    </row>
    <row r="371" spans="28:28" ht="14.5" x14ac:dyDescent="0.35">
      <c r="AB371" s="146" t="s">
        <v>331</v>
      </c>
    </row>
    <row r="372" spans="28:28" ht="14.5" x14ac:dyDescent="0.35">
      <c r="AB372" s="146" t="s">
        <v>332</v>
      </c>
    </row>
    <row r="373" spans="28:28" ht="14.5" x14ac:dyDescent="0.35">
      <c r="AB373" s="146" t="s">
        <v>333</v>
      </c>
    </row>
    <row r="374" spans="28:28" ht="14.5" x14ac:dyDescent="0.35">
      <c r="AB374" s="146" t="s">
        <v>334</v>
      </c>
    </row>
    <row r="375" spans="28:28" ht="14.5" x14ac:dyDescent="0.35">
      <c r="AB375" s="146" t="s">
        <v>335</v>
      </c>
    </row>
    <row r="376" spans="28:28" ht="14.5" x14ac:dyDescent="0.35">
      <c r="AB376" s="146" t="s">
        <v>336</v>
      </c>
    </row>
    <row r="377" spans="28:28" ht="14.5" x14ac:dyDescent="0.35">
      <c r="AB377" s="146" t="s">
        <v>337</v>
      </c>
    </row>
    <row r="378" spans="28:28" ht="14.5" x14ac:dyDescent="0.35">
      <c r="AB378" s="146" t="s">
        <v>338</v>
      </c>
    </row>
    <row r="379" spans="28:28" ht="14.5" x14ac:dyDescent="0.35">
      <c r="AB379" s="146" t="s">
        <v>339</v>
      </c>
    </row>
    <row r="380" spans="28:28" ht="14.5" x14ac:dyDescent="0.35">
      <c r="AB380" s="146" t="s">
        <v>340</v>
      </c>
    </row>
    <row r="381" spans="28:28" ht="14.5" x14ac:dyDescent="0.35">
      <c r="AB381" s="146" t="s">
        <v>341</v>
      </c>
    </row>
    <row r="382" spans="28:28" ht="14.5" x14ac:dyDescent="0.35">
      <c r="AB382" s="146" t="s">
        <v>342</v>
      </c>
    </row>
    <row r="383" spans="28:28" ht="14.5" x14ac:dyDescent="0.35">
      <c r="AB383" s="146" t="s">
        <v>343</v>
      </c>
    </row>
    <row r="384" spans="28:28" ht="14.5" x14ac:dyDescent="0.35">
      <c r="AB384" s="146" t="s">
        <v>344</v>
      </c>
    </row>
    <row r="385" spans="28:28" ht="14.5" x14ac:dyDescent="0.35">
      <c r="AB385" s="146" t="s">
        <v>345</v>
      </c>
    </row>
    <row r="386" spans="28:28" ht="14.5" x14ac:dyDescent="0.35">
      <c r="AB386" s="146" t="s">
        <v>346</v>
      </c>
    </row>
    <row r="387" spans="28:28" ht="14.5" x14ac:dyDescent="0.35">
      <c r="AB387" s="146" t="s">
        <v>347</v>
      </c>
    </row>
    <row r="388" spans="28:28" ht="14.5" x14ac:dyDescent="0.35">
      <c r="AB388" s="146" t="s">
        <v>348</v>
      </c>
    </row>
    <row r="389" spans="28:28" ht="14.5" x14ac:dyDescent="0.35">
      <c r="AB389" s="146" t="s">
        <v>349</v>
      </c>
    </row>
    <row r="390" spans="28:28" ht="14.5" x14ac:dyDescent="0.35">
      <c r="AB390" s="146" t="s">
        <v>350</v>
      </c>
    </row>
    <row r="391" spans="28:28" ht="14.5" x14ac:dyDescent="0.35">
      <c r="AB391" s="146" t="s">
        <v>351</v>
      </c>
    </row>
    <row r="392" spans="28:28" ht="14.5" x14ac:dyDescent="0.35">
      <c r="AB392" s="146" t="s">
        <v>352</v>
      </c>
    </row>
    <row r="393" spans="28:28" ht="14.5" x14ac:dyDescent="0.35">
      <c r="AB393" s="146" t="s">
        <v>353</v>
      </c>
    </row>
    <row r="394" spans="28:28" ht="14.5" x14ac:dyDescent="0.35">
      <c r="AB394" s="146" t="s">
        <v>354</v>
      </c>
    </row>
    <row r="395" spans="28:28" ht="14.5" x14ac:dyDescent="0.35">
      <c r="AB395" s="146" t="s">
        <v>355</v>
      </c>
    </row>
    <row r="396" spans="28:28" ht="14.5" x14ac:dyDescent="0.35">
      <c r="AB396" s="146" t="s">
        <v>356</v>
      </c>
    </row>
    <row r="397" spans="28:28" ht="14.5" x14ac:dyDescent="0.35">
      <c r="AB397" s="146" t="s">
        <v>357</v>
      </c>
    </row>
    <row r="398" spans="28:28" ht="14.5" x14ac:dyDescent="0.35">
      <c r="AB398" s="146" t="s">
        <v>358</v>
      </c>
    </row>
    <row r="399" spans="28:28" ht="14.5" x14ac:dyDescent="0.35">
      <c r="AB399" s="146" t="s">
        <v>359</v>
      </c>
    </row>
    <row r="400" spans="28:28" ht="14.5" x14ac:dyDescent="0.35">
      <c r="AB400" s="146" t="s">
        <v>360</v>
      </c>
    </row>
    <row r="401" spans="28:28" ht="14.5" x14ac:dyDescent="0.35">
      <c r="AB401" s="146" t="s">
        <v>361</v>
      </c>
    </row>
    <row r="402" spans="28:28" ht="14.5" x14ac:dyDescent="0.35">
      <c r="AB402" s="146" t="s">
        <v>362</v>
      </c>
    </row>
    <row r="403" spans="28:28" ht="14.5" x14ac:dyDescent="0.35">
      <c r="AB403" s="146" t="s">
        <v>154</v>
      </c>
    </row>
    <row r="404" spans="28:28" ht="14.5" x14ac:dyDescent="0.35">
      <c r="AB404" s="146" t="s">
        <v>155</v>
      </c>
    </row>
    <row r="405" spans="28:28" ht="14.5" x14ac:dyDescent="0.35">
      <c r="AB405" s="146" t="s">
        <v>363</v>
      </c>
    </row>
    <row r="406" spans="28:28" ht="14.5" x14ac:dyDescent="0.35">
      <c r="AB406" s="146" t="s">
        <v>364</v>
      </c>
    </row>
    <row r="407" spans="28:28" ht="14.5" x14ac:dyDescent="0.35">
      <c r="AB407" s="146" t="s">
        <v>365</v>
      </c>
    </row>
    <row r="408" spans="28:28" ht="14.5" x14ac:dyDescent="0.35">
      <c r="AB408" s="146" t="s">
        <v>366</v>
      </c>
    </row>
    <row r="409" spans="28:28" ht="14.5" x14ac:dyDescent="0.35">
      <c r="AB409" s="146" t="s">
        <v>367</v>
      </c>
    </row>
    <row r="410" spans="28:28" ht="14.5" x14ac:dyDescent="0.35">
      <c r="AB410" s="146" t="s">
        <v>368</v>
      </c>
    </row>
    <row r="411" spans="28:28" ht="14.5" x14ac:dyDescent="0.35">
      <c r="AB411" s="146" t="s">
        <v>369</v>
      </c>
    </row>
    <row r="412" spans="28:28" ht="14.5" x14ac:dyDescent="0.35"/>
    <row r="413" spans="28:28" ht="14.5" x14ac:dyDescent="0.35"/>
    <row r="414" spans="28:28" ht="14.5" x14ac:dyDescent="0.35">
      <c r="AB414" s="146" t="s">
        <v>370</v>
      </c>
    </row>
    <row r="415" spans="28:28" ht="14.5" x14ac:dyDescent="0.35"/>
    <row r="416" spans="28:28" ht="14.5" x14ac:dyDescent="0.35">
      <c r="AB416" s="146" t="s">
        <v>135</v>
      </c>
    </row>
    <row r="417" spans="28:28" ht="14.5" x14ac:dyDescent="0.35">
      <c r="AB417" s="146" t="s">
        <v>136</v>
      </c>
    </row>
    <row r="418" spans="28:28" ht="14.5" x14ac:dyDescent="0.35">
      <c r="AB418" s="146" t="s">
        <v>137</v>
      </c>
    </row>
    <row r="419" spans="28:28" ht="14.5" x14ac:dyDescent="0.35">
      <c r="AB419" s="146" t="s">
        <v>138</v>
      </c>
    </row>
    <row r="420" spans="28:28" ht="14.5" x14ac:dyDescent="0.35">
      <c r="AB420" s="146" t="s">
        <v>139</v>
      </c>
    </row>
    <row r="421" spans="28:28" ht="14.5" x14ac:dyDescent="0.35">
      <c r="AB421" s="146" t="s">
        <v>140</v>
      </c>
    </row>
    <row r="422" spans="28:28" ht="14.5" x14ac:dyDescent="0.35">
      <c r="AB422" s="146" t="s">
        <v>141</v>
      </c>
    </row>
    <row r="423" spans="28:28" ht="14.5" x14ac:dyDescent="0.35">
      <c r="AB423" s="146" t="s">
        <v>142</v>
      </c>
    </row>
    <row r="424" spans="28:28" ht="0" hidden="1" customHeight="1" x14ac:dyDescent="0.35">
      <c r="AB424" s="146" t="s">
        <v>143</v>
      </c>
    </row>
    <row r="425" spans="28:28" ht="0" hidden="1" customHeight="1" x14ac:dyDescent="0.35">
      <c r="AB425" s="146" t="s">
        <v>144</v>
      </c>
    </row>
    <row r="426" spans="28:28" ht="0" hidden="1" customHeight="1" x14ac:dyDescent="0.35">
      <c r="AB426" s="146" t="s">
        <v>145</v>
      </c>
    </row>
    <row r="427" spans="28:28" ht="0" hidden="1" customHeight="1" x14ac:dyDescent="0.35">
      <c r="AB427" s="146" t="s">
        <v>146</v>
      </c>
    </row>
  </sheetData>
  <mergeCells count="75">
    <mergeCell ref="G6:J7"/>
    <mergeCell ref="K6:K7"/>
    <mergeCell ref="C6:D6"/>
    <mergeCell ref="J3:L4"/>
    <mergeCell ref="Q6:S6"/>
    <mergeCell ref="C7:D7"/>
    <mergeCell ref="M3:O4"/>
    <mergeCell ref="C3:E4"/>
    <mergeCell ref="Q14:W16"/>
    <mergeCell ref="C12:D12"/>
    <mergeCell ref="G12:J13"/>
    <mergeCell ref="K12:K13"/>
    <mergeCell ref="C8:D8"/>
    <mergeCell ref="C9:D9"/>
    <mergeCell ref="Q11:W13"/>
    <mergeCell ref="G10:J11"/>
    <mergeCell ref="K10:K11"/>
    <mergeCell ref="C11:D11"/>
    <mergeCell ref="G8:J9"/>
    <mergeCell ref="K8:K9"/>
    <mergeCell ref="M16:M17"/>
    <mergeCell ref="O16:O17"/>
    <mergeCell ref="H16:I17"/>
    <mergeCell ref="K16:K17"/>
    <mergeCell ref="C10:D10"/>
    <mergeCell ref="C18:D18"/>
    <mergeCell ref="F18:G18"/>
    <mergeCell ref="C16:D17"/>
    <mergeCell ref="E16:E17"/>
    <mergeCell ref="F16:G17"/>
    <mergeCell ref="F19:G19"/>
    <mergeCell ref="C20:D20"/>
    <mergeCell ref="F20:G20"/>
    <mergeCell ref="C19:D19"/>
    <mergeCell ref="F21:G21"/>
    <mergeCell ref="C21:D21"/>
    <mergeCell ref="C22:D22"/>
    <mergeCell ref="F22:G22"/>
    <mergeCell ref="C23:D23"/>
    <mergeCell ref="F23:G23"/>
    <mergeCell ref="C24:D24"/>
    <mergeCell ref="F24:G24"/>
    <mergeCell ref="C25:D25"/>
    <mergeCell ref="F25:G25"/>
    <mergeCell ref="C26:D26"/>
    <mergeCell ref="F26:G26"/>
    <mergeCell ref="C27:D27"/>
    <mergeCell ref="F27:G27"/>
    <mergeCell ref="F33:G33"/>
    <mergeCell ref="C28:D28"/>
    <mergeCell ref="F28:G28"/>
    <mergeCell ref="C29:D29"/>
    <mergeCell ref="F29:G29"/>
    <mergeCell ref="C30:D30"/>
    <mergeCell ref="F30:G30"/>
    <mergeCell ref="C31:D31"/>
    <mergeCell ref="F31:G31"/>
    <mergeCell ref="C32:D32"/>
    <mergeCell ref="F32:G32"/>
    <mergeCell ref="C33:D33"/>
    <mergeCell ref="C37:D37"/>
    <mergeCell ref="F37:G37"/>
    <mergeCell ref="G43:I43"/>
    <mergeCell ref="C34:D34"/>
    <mergeCell ref="F34:G34"/>
    <mergeCell ref="C35:D35"/>
    <mergeCell ref="F35:G35"/>
    <mergeCell ref="C36:D36"/>
    <mergeCell ref="F36:G36"/>
    <mergeCell ref="C38:D38"/>
    <mergeCell ref="F38:G38"/>
    <mergeCell ref="C39:D39"/>
    <mergeCell ref="F39:G39"/>
    <mergeCell ref="C40:D40"/>
    <mergeCell ref="F40:G40"/>
  </mergeCells>
  <dataValidations count="11">
    <dataValidation type="list" allowBlank="1" showInputMessage="1" showErrorMessage="1" sqref="I18:I32">
      <formula1>$W$108:$W$109</formula1>
    </dataValidation>
    <dataValidation type="date" operator="lessThan" allowBlank="1" showInputMessage="1" showErrorMessage="1" errorTitle="ERROR EN LA FECHA DE NACIMIENTO" error="POR FAVOR VERIFIQUE EL VALOR INGRESADO " sqref="E8">
      <formula1>E6</formula1>
    </dataValidation>
    <dataValidation type="date" allowBlank="1" showInputMessage="1" showErrorMessage="1" errorTitle="ERROR EN LA FECHA DE MUERTE" error="POR FAVOR VERIFIQUE LA FECHA INGRESADA" sqref="E9">
      <formula1>E8</formula1>
      <formula2>E6</formula2>
    </dataValidation>
    <dataValidation type="list" allowBlank="1" showInputMessage="1" showErrorMessage="1" sqref="E10 H18:H41">
      <formula1>$C$78:$C$82</formula1>
    </dataValidation>
    <dataValidation type="whole" allowBlank="1" showInputMessage="1" showErrorMessage="1" errorTitle="ERROR EN VALOR" error="POR FAVOR VERIFICAR EL DATO INGRESADO Y CORREGIRLO" sqref="E11">
      <formula1>0</formula1>
      <formula2>999999999</formula2>
    </dataValidation>
    <dataValidation type="list" allowBlank="1" showInputMessage="1" showErrorMessage="1" sqref="T6">
      <formula1>$AB$44:$AB$46</formula1>
    </dataValidation>
    <dataValidation type="decimal" allowBlank="1" showInputMessage="1" showErrorMessage="1" errorTitle="ERROR EN DATO NUMERICO" error="POR FAVOR VERIFIQUE EL VALOR INGRESADO, E INGRESE EL DATO CORRECTO" sqref="E12:E15">
      <formula1>0</formula1>
      <formula2>100</formula2>
    </dataValidation>
    <dataValidation type="date" operator="lessThanOrEqual" allowBlank="1" showInputMessage="1" showErrorMessage="1" errorTitle="ERROR EN LA FECHA DE NACIMIENTO" error="EL RECLAMANTE NO PUEDE HABER NACIDO LUEGO DEL FALLECIMIENTO DE LA VICTIMA, POR FAVOR CORREGIR LA FECHA" sqref="F18:G18 F40:G40">
      <formula1>E9</formula1>
    </dataValidation>
    <dataValidation type="list" allowBlank="1" showInputMessage="1" showErrorMessage="1" sqref="I33:I41">
      <formula1>$W$107:$W$109</formula1>
    </dataValidation>
    <dataValidation type="list" allowBlank="1" showInputMessage="1" showErrorMessage="1" sqref="E18:E41">
      <formula1>$D$63:$D$74</formula1>
    </dataValidation>
    <dataValidation type="date" operator="lessThanOrEqual" allowBlank="1" showInputMessage="1" showErrorMessage="1" errorTitle="ERROR EN LA FECHA DE NACIMIENTO" error="EL RECLAMANTE NO PUEDE HABER NACIDO LUEGO DEL FALLECIMIENTO DE LA VICTIMA, POR FAVOR CORREGIR LA FECHA" sqref="F41:G41 F19:G39">
      <formula1>$E$9</formula1>
    </dataValidation>
  </dataValidations>
  <pageMargins left="0.7" right="0.7" top="0.75" bottom="0.75" header="0.3" footer="0.3"/>
  <pageSetup scale="2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DA264"/>
  <sheetViews>
    <sheetView tabSelected="1" zoomScale="70" zoomScaleNormal="70" workbookViewId="0">
      <pane xSplit="1" topLeftCell="B1" activePane="topRight" state="frozen"/>
      <selection pane="topRight" activeCell="I44" sqref="I44"/>
    </sheetView>
  </sheetViews>
  <sheetFormatPr baseColWidth="10" defaultColWidth="11.3984375" defaultRowHeight="14.25" customHeight="1" x14ac:dyDescent="0.3"/>
  <cols>
    <col min="1" max="1" width="0.296875" style="89" customWidth="1"/>
    <col min="2" max="2" width="2.09765625" style="1" customWidth="1"/>
    <col min="3" max="3" width="12.8984375" style="1" customWidth="1"/>
    <col min="4" max="4" width="23.8984375" style="1" customWidth="1"/>
    <col min="5" max="5" width="24.796875" style="1" customWidth="1"/>
    <col min="6" max="6" width="2.09765625" style="1" customWidth="1"/>
    <col min="7" max="7" width="10.3984375" style="1" customWidth="1"/>
    <col min="8" max="8" width="7.09765625" style="1" customWidth="1"/>
    <col min="9" max="9" width="12.8984375" style="1" customWidth="1"/>
    <col min="10" max="10" width="2.09765625" style="1" customWidth="1"/>
    <col min="11" max="11" width="14.296875" style="1" customWidth="1"/>
    <col min="12" max="12" width="2.69921875" style="1" customWidth="1"/>
    <col min="13" max="13" width="14.296875" style="1" customWidth="1"/>
    <col min="14" max="14" width="2.09765625" style="1" customWidth="1"/>
    <col min="15" max="15" width="19.3984375" style="73" customWidth="1"/>
    <col min="16" max="16" width="8" style="89" customWidth="1"/>
    <col min="17" max="17" width="7" style="89" bestFit="1" customWidth="1"/>
    <col min="18" max="18" width="14.09765625" style="1" customWidth="1"/>
    <col min="19" max="19" width="6.296875" style="1" customWidth="1"/>
    <col min="20" max="20" width="18.3984375" style="1" customWidth="1"/>
    <col min="21" max="21" width="5.09765625" style="1" customWidth="1"/>
    <col min="22" max="22" width="2.09765625" style="1" customWidth="1"/>
    <col min="23" max="23" width="17.8984375" style="1" customWidth="1"/>
    <col min="24" max="24" width="2.09765625" style="81" customWidth="1"/>
    <col min="25" max="25" width="0.69921875" style="81" customWidth="1"/>
    <col min="26" max="26" width="11.3984375" style="81" customWidth="1"/>
    <col min="27" max="27" width="11.8984375" style="81" hidden="1" customWidth="1"/>
    <col min="28" max="31" width="11.3984375" style="131" hidden="1" customWidth="1"/>
    <col min="32" max="50" width="11.3984375" style="3" hidden="1" customWidth="1"/>
    <col min="51" max="56" width="0" style="3" hidden="1" customWidth="1"/>
    <col min="57" max="66" width="0" style="90" hidden="1" customWidth="1"/>
    <col min="67" max="73" width="11.3984375" style="90"/>
    <col min="74" max="74" width="13.796875" style="90" bestFit="1" customWidth="1"/>
    <col min="75" max="105" width="11.3984375" style="90"/>
    <col min="106" max="16384" width="11.3984375" style="81"/>
  </cols>
  <sheetData>
    <row r="1" spans="1:75" ht="14.25" customHeight="1" x14ac:dyDescent="0.35">
      <c r="A1"/>
      <c r="T1" s="246"/>
      <c r="U1" s="247"/>
      <c r="V1" s="247"/>
      <c r="W1" s="247"/>
    </row>
    <row r="2" spans="1:75" ht="14.25" customHeight="1" x14ac:dyDescent="0.35">
      <c r="A2"/>
      <c r="B2" s="4"/>
      <c r="C2" s="3"/>
      <c r="D2" s="3"/>
      <c r="E2" s="251">
        <f>2024-2005</f>
        <v>19</v>
      </c>
      <c r="F2" s="3"/>
      <c r="G2" s="3"/>
      <c r="H2" s="3"/>
      <c r="I2" s="3"/>
      <c r="J2" s="6"/>
      <c r="K2" s="6"/>
      <c r="L2" s="6"/>
      <c r="M2" s="6"/>
      <c r="N2" s="6"/>
      <c r="O2" s="74"/>
      <c r="P2" s="6"/>
      <c r="S2" s="95"/>
      <c r="T2" s="246"/>
      <c r="U2" s="248"/>
      <c r="V2" s="249"/>
      <c r="W2" s="249"/>
    </row>
    <row r="3" spans="1:75" ht="14.25" customHeight="1" x14ac:dyDescent="0.35">
      <c r="A3"/>
      <c r="B3" s="4"/>
      <c r="C3" s="284" t="s">
        <v>389</v>
      </c>
      <c r="D3" s="284"/>
      <c r="E3" s="284"/>
      <c r="F3" s="8"/>
      <c r="G3" s="281" t="s">
        <v>5</v>
      </c>
      <c r="H3" s="281"/>
      <c r="I3" s="281"/>
      <c r="J3" s="282" t="s">
        <v>467</v>
      </c>
      <c r="K3" s="283"/>
      <c r="L3" s="283"/>
      <c r="M3" s="283"/>
      <c r="N3" s="9"/>
      <c r="O3" s="10"/>
      <c r="P3" s="5"/>
      <c r="Q3" s="5"/>
      <c r="R3" s="57"/>
      <c r="S3" s="57"/>
      <c r="T3" s="334" t="s">
        <v>466</v>
      </c>
      <c r="U3" s="335"/>
      <c r="V3" s="335"/>
      <c r="W3" s="336"/>
      <c r="X3" s="337"/>
      <c r="Y3" s="338"/>
      <c r="Z3" s="338"/>
      <c r="AA3" s="338"/>
      <c r="AB3" s="339"/>
      <c r="AC3" s="340">
        <f ca="1">TODAY()</f>
        <v>45757</v>
      </c>
      <c r="AD3" s="339"/>
      <c r="AE3" s="339"/>
      <c r="AF3" s="341"/>
      <c r="AG3" s="341"/>
      <c r="AH3" s="341">
        <f>SUM(AJ5:AJ115)</f>
        <v>67.099999999999994</v>
      </c>
      <c r="AI3" s="341" t="s">
        <v>0</v>
      </c>
      <c r="AJ3" s="341"/>
      <c r="AK3" s="341"/>
      <c r="AL3" s="341" t="s">
        <v>1</v>
      </c>
      <c r="AM3" s="341"/>
      <c r="AN3" s="341"/>
      <c r="AO3" s="341"/>
      <c r="AP3" s="341"/>
      <c r="AQ3" s="341"/>
      <c r="AR3" s="341"/>
      <c r="AS3" s="341"/>
      <c r="AT3" s="341"/>
      <c r="AU3" s="341"/>
      <c r="AV3" s="341"/>
      <c r="AW3" s="341"/>
      <c r="AX3" s="341"/>
      <c r="AY3" s="341"/>
      <c r="AZ3" s="341"/>
      <c r="BA3" s="341"/>
      <c r="BB3" s="341"/>
      <c r="BC3" s="341"/>
      <c r="BD3" s="341"/>
      <c r="BE3" s="342"/>
      <c r="BF3" s="342"/>
      <c r="BG3" s="342"/>
      <c r="BH3" s="342"/>
      <c r="BI3" s="342"/>
      <c r="BJ3" s="342"/>
      <c r="BK3" s="342"/>
      <c r="BL3" s="342"/>
      <c r="BM3" s="342"/>
      <c r="BN3" s="342"/>
      <c r="BO3" s="342"/>
      <c r="BP3" s="342"/>
      <c r="BQ3" s="342"/>
      <c r="BR3" s="342"/>
      <c r="BS3" s="342"/>
      <c r="BT3" s="342"/>
      <c r="BU3" s="342"/>
      <c r="BV3" s="342"/>
      <c r="BW3" s="342"/>
    </row>
    <row r="4" spans="1:75" ht="14.25" customHeight="1" x14ac:dyDescent="0.3">
      <c r="A4"/>
      <c r="B4" s="4"/>
      <c r="C4" s="284"/>
      <c r="D4" s="284"/>
      <c r="E4" s="284"/>
      <c r="F4" s="8"/>
      <c r="G4" s="281"/>
      <c r="H4" s="281"/>
      <c r="I4" s="281"/>
      <c r="J4" s="283"/>
      <c r="K4" s="283"/>
      <c r="L4" s="283"/>
      <c r="M4" s="283"/>
      <c r="N4" s="9"/>
      <c r="O4" s="10"/>
      <c r="P4" s="124"/>
      <c r="Q4" s="91"/>
      <c r="R4" s="96" t="str">
        <f>AA18</f>
        <v/>
      </c>
      <c r="S4" s="96"/>
      <c r="T4" s="246"/>
      <c r="U4" s="255"/>
      <c r="V4" s="57"/>
      <c r="W4" s="96"/>
      <c r="AA4" s="81" t="s">
        <v>2</v>
      </c>
      <c r="AH4" s="3">
        <f>INT(AH3*12)</f>
        <v>805</v>
      </c>
      <c r="AI4" s="3" t="s">
        <v>3</v>
      </c>
      <c r="AS4" s="229" t="s">
        <v>4</v>
      </c>
    </row>
    <row r="5" spans="1:75" ht="14.25" customHeight="1" x14ac:dyDescent="0.3">
      <c r="A5"/>
      <c r="B5" s="4"/>
      <c r="C5" s="10"/>
      <c r="D5" s="10"/>
      <c r="E5" s="10"/>
      <c r="F5" s="10"/>
      <c r="G5" s="10"/>
      <c r="H5" s="10"/>
      <c r="I5" s="10"/>
      <c r="J5" s="10"/>
      <c r="K5" s="10"/>
      <c r="L5" s="10"/>
      <c r="M5" s="10"/>
      <c r="N5" s="10"/>
      <c r="O5" s="10"/>
      <c r="P5" s="124"/>
      <c r="Q5" s="87"/>
      <c r="R5" s="98"/>
      <c r="S5" s="98"/>
      <c r="T5" s="98"/>
      <c r="U5" s="98"/>
      <c r="V5" s="98"/>
      <c r="W5" s="98"/>
      <c r="AH5" s="3" t="str">
        <f>IF(ISERR(AH3)=TRUE,"",IF(AH3=0,"",CONCATENATE(AH3,AI3,AH4,AI4)))</f>
        <v>67,1 años o 805 meses</v>
      </c>
      <c r="AJ5" s="3">
        <f t="shared" ref="AJ5:AJ36" si="0">IF($AC$8=AK5,IF($E$10="H",AO5,IF($E$10="M",AU5,IF($E$10="H Invalido",AP5,IF($E$10="M Invalida",AQ5,0)))),0)</f>
        <v>0</v>
      </c>
      <c r="AK5" s="3">
        <v>0</v>
      </c>
      <c r="AO5" s="3">
        <v>64.8</v>
      </c>
      <c r="AP5" s="3">
        <v>43.83</v>
      </c>
      <c r="AQ5" s="3">
        <v>55.38</v>
      </c>
      <c r="AU5" s="3">
        <v>70</v>
      </c>
    </row>
    <row r="6" spans="1:75" ht="14.25" customHeight="1" x14ac:dyDescent="0.3">
      <c r="A6"/>
      <c r="B6" s="4"/>
      <c r="C6" s="287" t="s">
        <v>399</v>
      </c>
      <c r="D6" s="287"/>
      <c r="E6" s="72">
        <v>5015121074993</v>
      </c>
      <c r="F6" s="11"/>
      <c r="G6" s="12"/>
      <c r="H6" s="12"/>
      <c r="I6" s="12"/>
      <c r="J6" s="12"/>
      <c r="K6" s="9"/>
      <c r="L6" s="9"/>
      <c r="M6" s="9"/>
      <c r="N6" s="13"/>
      <c r="O6" s="75"/>
      <c r="P6" s="87"/>
      <c r="Q6" s="88" t="str">
        <f>+T76</f>
        <v/>
      </c>
      <c r="R6" s="99"/>
      <c r="S6" s="99"/>
      <c r="T6" s="99"/>
      <c r="U6" s="99"/>
      <c r="V6" s="99"/>
      <c r="W6" s="99"/>
      <c r="AC6" s="131">
        <f>(E9-E8)/365.25</f>
        <v>18.33264887063655</v>
      </c>
      <c r="AD6" s="131">
        <f>12*(AC6-AC8)</f>
        <v>3.9917864476386029</v>
      </c>
      <c r="AE6" s="131">
        <f>AD6-AD8</f>
        <v>0.99178644763860291</v>
      </c>
      <c r="AJ6" s="3">
        <f t="shared" si="0"/>
        <v>0</v>
      </c>
      <c r="AK6" s="3">
        <v>1</v>
      </c>
      <c r="AO6" s="3">
        <v>64.8</v>
      </c>
      <c r="AP6" s="3">
        <v>43.47</v>
      </c>
      <c r="AQ6" s="3">
        <v>54.88</v>
      </c>
      <c r="AU6" s="3">
        <v>70</v>
      </c>
    </row>
    <row r="7" spans="1:75" ht="14.25" customHeight="1" x14ac:dyDescent="0.3">
      <c r="A7"/>
      <c r="B7" s="4"/>
      <c r="C7" s="287" t="s">
        <v>400</v>
      </c>
      <c r="D7" s="287"/>
      <c r="E7" s="72" t="s">
        <v>465</v>
      </c>
      <c r="F7" s="11"/>
      <c r="G7" s="281" t="s">
        <v>381</v>
      </c>
      <c r="H7" s="281"/>
      <c r="I7" s="281"/>
      <c r="J7" s="281"/>
      <c r="K7" s="296">
        <f>AB40</f>
        <v>1000000</v>
      </c>
      <c r="L7" s="14"/>
      <c r="P7" s="125"/>
      <c r="Q7" s="88"/>
      <c r="R7" s="99"/>
      <c r="S7" s="99"/>
      <c r="T7" s="99"/>
      <c r="U7" s="99"/>
      <c r="V7" s="99"/>
      <c r="W7" s="99"/>
      <c r="AJ7" s="3">
        <f t="shared" si="0"/>
        <v>0</v>
      </c>
      <c r="AK7" s="3">
        <v>2</v>
      </c>
      <c r="AO7" s="3">
        <v>64.8</v>
      </c>
      <c r="AP7" s="3">
        <v>43.11</v>
      </c>
      <c r="AQ7" s="3">
        <v>54.38</v>
      </c>
      <c r="AU7" s="3">
        <v>70</v>
      </c>
    </row>
    <row r="8" spans="1:75" ht="14.25" customHeight="1" x14ac:dyDescent="0.3">
      <c r="A8"/>
      <c r="B8" s="4"/>
      <c r="C8" s="288" t="s">
        <v>384</v>
      </c>
      <c r="D8" s="288"/>
      <c r="E8" s="254">
        <v>38153</v>
      </c>
      <c r="F8" s="15"/>
      <c r="G8" s="281"/>
      <c r="H8" s="281"/>
      <c r="I8" s="281"/>
      <c r="J8" s="281"/>
      <c r="K8" s="296"/>
      <c r="L8" s="9"/>
      <c r="P8" s="125"/>
      <c r="Q8" s="88"/>
      <c r="R8" s="99"/>
      <c r="S8" s="99"/>
      <c r="T8" s="99"/>
      <c r="U8" s="99"/>
      <c r="V8" s="99"/>
      <c r="W8" s="99"/>
      <c r="Y8" s="100"/>
      <c r="AC8" s="131">
        <f>INT(AC6)</f>
        <v>18</v>
      </c>
      <c r="AD8" s="131">
        <f>+INT(AD6)</f>
        <v>3</v>
      </c>
      <c r="AE8" s="131">
        <f>+INT(AE6*30)</f>
        <v>29</v>
      </c>
      <c r="AJ8" s="3">
        <f t="shared" si="0"/>
        <v>0</v>
      </c>
      <c r="AK8" s="3">
        <v>3</v>
      </c>
      <c r="AO8" s="3">
        <v>64.8</v>
      </c>
      <c r="AP8" s="3">
        <v>42.75</v>
      </c>
      <c r="AQ8" s="3">
        <v>53.87</v>
      </c>
      <c r="AU8" s="3">
        <v>70</v>
      </c>
    </row>
    <row r="9" spans="1:75" ht="14.25" customHeight="1" x14ac:dyDescent="0.3">
      <c r="A9"/>
      <c r="B9" s="4"/>
      <c r="C9" s="312" t="s">
        <v>395</v>
      </c>
      <c r="D9" s="312"/>
      <c r="E9" s="196">
        <v>44849</v>
      </c>
      <c r="F9" s="16"/>
      <c r="G9" s="281" t="s">
        <v>380</v>
      </c>
      <c r="H9" s="281"/>
      <c r="I9" s="281"/>
      <c r="J9" s="281"/>
      <c r="K9" s="271" t="str">
        <f>AC11</f>
        <v>18 años, 3 meses, y 29 dias</v>
      </c>
      <c r="L9" s="17"/>
      <c r="P9" s="125"/>
      <c r="Q9" s="88"/>
      <c r="R9" s="99"/>
      <c r="S9" s="99"/>
      <c r="T9" s="99"/>
      <c r="U9" s="99"/>
      <c r="V9" s="99"/>
      <c r="W9" s="99"/>
      <c r="AC9" s="131" t="s">
        <v>6</v>
      </c>
      <c r="AD9" s="131" t="str">
        <f>IF(AD8=1," mes, y "," meses, y ")</f>
        <v xml:space="preserve"> meses, y </v>
      </c>
      <c r="AE9" s="131" t="str">
        <f>IF(AE8=1," dia"," dias")</f>
        <v xml:space="preserve"> dias</v>
      </c>
      <c r="AJ9" s="3">
        <f t="shared" si="0"/>
        <v>0</v>
      </c>
      <c r="AK9" s="3">
        <v>4</v>
      </c>
      <c r="AO9" s="3">
        <v>64.8</v>
      </c>
      <c r="AP9" s="3">
        <v>42.39</v>
      </c>
      <c r="AQ9" s="3">
        <v>53.37</v>
      </c>
      <c r="AU9" s="3">
        <v>70</v>
      </c>
    </row>
    <row r="10" spans="1:75" ht="14.25" customHeight="1" x14ac:dyDescent="0.3">
      <c r="A10"/>
      <c r="B10" s="4"/>
      <c r="C10" s="264" t="s">
        <v>390</v>
      </c>
      <c r="D10" s="264"/>
      <c r="E10" s="18" t="s">
        <v>55</v>
      </c>
      <c r="F10" s="16"/>
      <c r="G10" s="281"/>
      <c r="H10" s="281"/>
      <c r="I10" s="281"/>
      <c r="J10" s="281"/>
      <c r="K10" s="271"/>
      <c r="L10" s="9"/>
      <c r="P10" s="125"/>
      <c r="Q10" s="88"/>
      <c r="R10" s="99"/>
      <c r="S10" s="99"/>
      <c r="T10" s="99"/>
      <c r="U10" s="99"/>
      <c r="V10" s="99"/>
      <c r="W10" s="99"/>
      <c r="AC10" s="131">
        <f>AC8+AD8+AE8</f>
        <v>50</v>
      </c>
      <c r="AH10" s="3" t="str">
        <f>J3</f>
        <v>YEILY ALEJANDRA ALAGUEÑO RIASCOS</v>
      </c>
      <c r="AJ10" s="3">
        <f t="shared" si="0"/>
        <v>0</v>
      </c>
      <c r="AK10" s="3">
        <v>5</v>
      </c>
      <c r="AO10" s="3">
        <v>64.8</v>
      </c>
      <c r="AP10" s="3">
        <v>42.02</v>
      </c>
      <c r="AQ10" s="3">
        <v>52.85</v>
      </c>
      <c r="AU10" s="3">
        <v>70</v>
      </c>
    </row>
    <row r="11" spans="1:75" ht="14.25" customHeight="1" x14ac:dyDescent="0.3">
      <c r="A11"/>
      <c r="B11" s="4"/>
      <c r="C11" s="269"/>
      <c r="D11" s="269"/>
      <c r="E11" s="51"/>
      <c r="F11" s="19"/>
      <c r="G11" s="281" t="s">
        <v>379</v>
      </c>
      <c r="H11" s="281"/>
      <c r="I11" s="281"/>
      <c r="J11" s="281"/>
      <c r="K11" s="286" t="str">
        <f>AH5</f>
        <v>67,1 años o 805 meses</v>
      </c>
      <c r="L11" s="9"/>
      <c r="M11" s="9"/>
      <c r="N11" s="9"/>
      <c r="O11" s="10"/>
      <c r="P11" s="125"/>
      <c r="Q11" s="83" t="str">
        <f>+T84</f>
        <v/>
      </c>
      <c r="R11" s="71"/>
      <c r="S11" s="71"/>
      <c r="T11" s="71"/>
      <c r="U11" s="71"/>
      <c r="V11" s="71"/>
      <c r="W11" s="71"/>
      <c r="AC11" s="131" t="str">
        <f>IF(AC8&lt;0,"",IF(AC10=0,"",IF(ISERR(AC10)=TRUE,"",CONCATENATE(AC8,AC9,AD8,AD9,AE8,AE9))))</f>
        <v>18 años, 3 meses, y 29 dias</v>
      </c>
      <c r="AJ11" s="3">
        <f t="shared" si="0"/>
        <v>0</v>
      </c>
      <c r="AK11" s="3">
        <v>6</v>
      </c>
      <c r="AO11" s="3">
        <v>64.8</v>
      </c>
      <c r="AP11" s="3">
        <v>41.65</v>
      </c>
      <c r="AQ11" s="3">
        <v>52.34</v>
      </c>
      <c r="AU11" s="3">
        <v>70</v>
      </c>
    </row>
    <row r="12" spans="1:75" ht="14.25" customHeight="1" x14ac:dyDescent="0.3">
      <c r="A12"/>
      <c r="B12" s="4"/>
      <c r="C12" s="288" t="s">
        <v>385</v>
      </c>
      <c r="D12" s="288"/>
      <c r="E12" s="20">
        <v>0</v>
      </c>
      <c r="F12" s="19"/>
      <c r="G12" s="281"/>
      <c r="H12" s="281"/>
      <c r="I12" s="281"/>
      <c r="J12" s="281"/>
      <c r="K12" s="286"/>
      <c r="L12" s="9"/>
      <c r="M12" s="21"/>
      <c r="N12" s="21"/>
      <c r="O12" s="76"/>
      <c r="P12" s="125"/>
      <c r="Q12" s="83" t="str">
        <f>+T85</f>
        <v/>
      </c>
      <c r="R12" s="71"/>
      <c r="S12" s="71"/>
      <c r="T12" s="71"/>
      <c r="U12" s="71"/>
      <c r="V12" s="71"/>
      <c r="W12" s="71"/>
      <c r="AG12" s="3" t="str">
        <f>IF(AD8=1," mes"," meses")</f>
        <v xml:space="preserve"> meses</v>
      </c>
      <c r="AH12" s="3" t="str">
        <f>CONCATENATE(AC8," años y ",AD8,AG12)</f>
        <v>18 años y 3 meses</v>
      </c>
      <c r="AJ12" s="3">
        <f t="shared" si="0"/>
        <v>0</v>
      </c>
      <c r="AK12" s="3">
        <v>7</v>
      </c>
      <c r="AO12" s="3">
        <v>64.8</v>
      </c>
      <c r="AP12" s="3">
        <v>41.27</v>
      </c>
      <c r="AQ12" s="3">
        <v>51.82</v>
      </c>
      <c r="AU12" s="3">
        <v>70</v>
      </c>
    </row>
    <row r="13" spans="1:75" ht="14.25" customHeight="1" x14ac:dyDescent="0.3">
      <c r="A13"/>
      <c r="B13" s="4"/>
      <c r="C13" s="288" t="s">
        <v>386</v>
      </c>
      <c r="D13" s="288"/>
      <c r="E13" s="22">
        <v>17.920000000000002</v>
      </c>
      <c r="F13" s="19"/>
      <c r="G13" s="295" t="s">
        <v>9</v>
      </c>
      <c r="H13" s="295"/>
      <c r="I13" s="295"/>
      <c r="J13" s="295"/>
      <c r="K13" s="296">
        <f>F85</f>
        <v>0</v>
      </c>
      <c r="L13" s="9"/>
      <c r="M13" s="281" t="s">
        <v>8</v>
      </c>
      <c r="N13" s="281"/>
      <c r="O13" s="294"/>
      <c r="P13" s="125"/>
      <c r="Q13" s="83" t="str">
        <f>+T86</f>
        <v/>
      </c>
      <c r="R13" s="71"/>
      <c r="S13" s="71"/>
      <c r="T13" s="71"/>
      <c r="U13" s="71"/>
      <c r="V13" s="71"/>
      <c r="W13" s="71"/>
      <c r="AB13" s="131">
        <f>IF(U4="SI","",0)</f>
        <v>0</v>
      </c>
      <c r="AJ13" s="3">
        <f t="shared" si="0"/>
        <v>0</v>
      </c>
      <c r="AK13" s="3">
        <v>8</v>
      </c>
      <c r="AO13" s="3">
        <v>64.8</v>
      </c>
      <c r="AP13" s="3">
        <v>40.89</v>
      </c>
      <c r="AQ13" s="3">
        <v>51.29</v>
      </c>
      <c r="AU13" s="3">
        <v>70</v>
      </c>
    </row>
    <row r="14" spans="1:75" ht="14.25" customHeight="1" x14ac:dyDescent="0.3">
      <c r="A14"/>
      <c r="B14" s="4"/>
      <c r="C14" s="288" t="s">
        <v>9</v>
      </c>
      <c r="D14" s="288"/>
      <c r="E14" s="20">
        <v>95</v>
      </c>
      <c r="F14" s="19"/>
      <c r="G14" s="295"/>
      <c r="H14" s="295"/>
      <c r="I14" s="295"/>
      <c r="J14" s="295"/>
      <c r="K14" s="296"/>
      <c r="L14" s="17"/>
      <c r="M14" s="281"/>
      <c r="N14" s="281"/>
      <c r="O14" s="294"/>
      <c r="P14" s="125"/>
      <c r="Q14" s="83" t="str">
        <f>+T87</f>
        <v/>
      </c>
      <c r="R14" s="71"/>
      <c r="S14" s="71"/>
      <c r="T14" s="71"/>
      <c r="U14" s="71"/>
      <c r="V14" s="71"/>
      <c r="W14" s="71"/>
      <c r="AA14" s="101" t="e">
        <f>IF(#REF!=1,"",#REF!)</f>
        <v>#REF!</v>
      </c>
      <c r="AJ14" s="3">
        <f t="shared" si="0"/>
        <v>0</v>
      </c>
      <c r="AK14" s="3">
        <v>9</v>
      </c>
      <c r="AO14" s="3">
        <v>64.8</v>
      </c>
      <c r="AP14" s="3">
        <v>40.51</v>
      </c>
      <c r="AQ14" s="3">
        <v>50.77</v>
      </c>
      <c r="AU14" s="3">
        <v>70</v>
      </c>
      <c r="BV14" s="252"/>
    </row>
    <row r="15" spans="1:75" ht="14.25" customHeight="1" x14ac:dyDescent="0.3">
      <c r="A15"/>
      <c r="B15" s="4"/>
      <c r="C15" s="288" t="s">
        <v>383</v>
      </c>
      <c r="D15" s="288"/>
      <c r="E15" s="18" t="s">
        <v>42</v>
      </c>
      <c r="F15" s="9"/>
      <c r="G15" s="297" t="s">
        <v>382</v>
      </c>
      <c r="H15" s="298"/>
      <c r="I15" s="298"/>
      <c r="J15" s="298"/>
      <c r="K15" s="299"/>
      <c r="L15" s="9"/>
      <c r="M15" s="285" t="s">
        <v>375</v>
      </c>
      <c r="N15" s="285"/>
      <c r="O15" s="293"/>
      <c r="P15" s="5"/>
      <c r="Q15" s="83" t="str">
        <f>+T88</f>
        <v/>
      </c>
      <c r="R15" s="71"/>
      <c r="S15" s="71"/>
      <c r="T15" s="71"/>
      <c r="U15" s="71"/>
      <c r="V15" s="71"/>
      <c r="W15" s="71"/>
      <c r="AJ15" s="3">
        <f t="shared" si="0"/>
        <v>0</v>
      </c>
      <c r="AK15" s="3">
        <v>10</v>
      </c>
      <c r="AO15" s="3">
        <v>64.8</v>
      </c>
      <c r="AP15" s="3">
        <v>40.11</v>
      </c>
      <c r="AQ15" s="3">
        <v>50.23</v>
      </c>
      <c r="AU15" s="3">
        <v>70</v>
      </c>
      <c r="BV15" s="252"/>
    </row>
    <row r="16" spans="1:75" ht="14.25" customHeight="1" x14ac:dyDescent="0.3">
      <c r="A16"/>
      <c r="B16" s="4"/>
      <c r="C16" s="288" t="s">
        <v>11</v>
      </c>
      <c r="D16" s="288"/>
      <c r="E16" s="257" t="s">
        <v>38</v>
      </c>
      <c r="F16" s="23"/>
      <c r="G16" s="298"/>
      <c r="H16" s="298"/>
      <c r="I16" s="298"/>
      <c r="J16" s="298"/>
      <c r="K16" s="299"/>
      <c r="L16" s="9"/>
      <c r="M16" s="285"/>
      <c r="N16" s="285"/>
      <c r="O16" s="293"/>
      <c r="P16" s="92"/>
      <c r="Q16" s="92"/>
      <c r="R16" s="102"/>
      <c r="S16" s="102"/>
      <c r="T16" s="99" t="str">
        <f>T72</f>
        <v/>
      </c>
      <c r="U16" s="99"/>
      <c r="V16" s="99"/>
      <c r="W16" s="99"/>
      <c r="AC16" s="131">
        <f>IF(E10="H",1,IF(E10="M",1,0))</f>
        <v>1</v>
      </c>
      <c r="AD16" s="131">
        <f>YEAR(E9)</f>
        <v>2022</v>
      </c>
      <c r="AJ16" s="3">
        <f t="shared" si="0"/>
        <v>0</v>
      </c>
      <c r="AK16" s="3">
        <v>11</v>
      </c>
      <c r="AO16" s="3">
        <v>64.8</v>
      </c>
      <c r="AP16" s="3">
        <v>39.72</v>
      </c>
      <c r="AQ16" s="3">
        <v>49.7</v>
      </c>
      <c r="AU16" s="3">
        <v>70</v>
      </c>
      <c r="BV16" s="252"/>
    </row>
    <row r="17" spans="1:47" ht="14.25" customHeight="1" x14ac:dyDescent="0.3">
      <c r="A17"/>
      <c r="B17" s="5"/>
      <c r="C17" s="24"/>
      <c r="D17" s="24"/>
      <c r="E17" s="25"/>
      <c r="F17" s="23"/>
      <c r="G17" s="26"/>
      <c r="H17" s="26"/>
      <c r="I17" s="26"/>
      <c r="J17" s="26"/>
      <c r="K17" s="27"/>
      <c r="L17" s="9"/>
      <c r="M17" s="21"/>
      <c r="N17" s="21"/>
      <c r="O17" s="77"/>
      <c r="P17" s="92"/>
      <c r="Q17" s="92"/>
      <c r="R17" s="102"/>
      <c r="S17" s="102"/>
      <c r="T17" s="99"/>
      <c r="U17" s="99"/>
      <c r="V17" s="99"/>
      <c r="W17" s="99"/>
      <c r="AJ17" s="3">
        <f t="shared" si="0"/>
        <v>0</v>
      </c>
      <c r="AK17" s="3">
        <v>12</v>
      </c>
      <c r="AO17" s="3">
        <v>64.8</v>
      </c>
      <c r="AP17" s="3">
        <v>39.32</v>
      </c>
      <c r="AQ17" s="3">
        <v>49.16</v>
      </c>
      <c r="AU17" s="3">
        <v>70</v>
      </c>
    </row>
    <row r="18" spans="1:47" ht="14.25" customHeight="1" x14ac:dyDescent="0.3">
      <c r="A18"/>
      <c r="B18" s="33"/>
      <c r="C18" s="24"/>
      <c r="D18" s="24"/>
      <c r="E18" s="25"/>
      <c r="F18" s="23"/>
      <c r="G18" s="28"/>
      <c r="H18" s="28"/>
      <c r="I18" s="15"/>
      <c r="J18" s="9"/>
      <c r="K18" s="29"/>
      <c r="L18" s="9"/>
      <c r="M18" s="29"/>
      <c r="N18" s="9"/>
      <c r="O18" s="78"/>
      <c r="P18" s="92"/>
      <c r="Q18" s="92"/>
      <c r="R18" s="102"/>
      <c r="S18" s="102"/>
      <c r="T18" s="99"/>
      <c r="U18" s="99"/>
      <c r="V18" s="99"/>
      <c r="W18" s="99"/>
      <c r="AA18" s="81" t="str">
        <f>IF(W44="","",IF(W44&gt;0,"MAS INFORMACION",""))</f>
        <v/>
      </c>
      <c r="AC18" s="131">
        <f>+AD18*AF18</f>
        <v>0</v>
      </c>
      <c r="AD18" s="131">
        <f>+IF($AD$16=AE18,1,0)</f>
        <v>0</v>
      </c>
      <c r="AE18" s="135">
        <v>2000</v>
      </c>
      <c r="AF18" s="197">
        <v>260100</v>
      </c>
      <c r="AJ18" s="3">
        <f t="shared" si="0"/>
        <v>0</v>
      </c>
      <c r="AK18" s="3">
        <v>13</v>
      </c>
      <c r="AO18" s="3">
        <v>64.8</v>
      </c>
      <c r="AP18" s="3">
        <v>38.909999999999997</v>
      </c>
      <c r="AQ18" s="3">
        <v>48.61</v>
      </c>
      <c r="AU18" s="3">
        <v>70</v>
      </c>
    </row>
    <row r="19" spans="1:47" ht="14.25" customHeight="1" x14ac:dyDescent="0.3">
      <c r="A19"/>
      <c r="B19" s="33"/>
      <c r="C19" s="284" t="s">
        <v>376</v>
      </c>
      <c r="D19" s="284"/>
      <c r="E19" s="266" t="s">
        <v>391</v>
      </c>
      <c r="F19" s="30"/>
      <c r="G19" s="9"/>
      <c r="H19" s="276" t="s">
        <v>463</v>
      </c>
      <c r="I19" s="276"/>
      <c r="J19" s="55"/>
      <c r="K19" s="270" t="s">
        <v>396</v>
      </c>
      <c r="M19" s="270" t="s">
        <v>371</v>
      </c>
      <c r="O19" s="292" t="s">
        <v>372</v>
      </c>
      <c r="P19" s="12"/>
      <c r="Q19" s="92"/>
      <c r="R19" s="102"/>
      <c r="S19" s="102"/>
      <c r="T19" s="99"/>
      <c r="U19" s="99"/>
      <c r="V19" s="99"/>
      <c r="W19" s="99"/>
      <c r="AA19" s="81">
        <v>1</v>
      </c>
      <c r="AC19" s="131">
        <f t="shared" ref="AC19:AC36" si="1">+AD19*AF19</f>
        <v>0</v>
      </c>
      <c r="AD19" s="131">
        <f t="shared" ref="AD19:AD36" si="2">+IF($AD$16=AE19,1,0)</f>
        <v>0</v>
      </c>
      <c r="AE19" s="135">
        <v>2001</v>
      </c>
      <c r="AF19" s="197">
        <v>286000</v>
      </c>
      <c r="AJ19" s="3">
        <f t="shared" si="0"/>
        <v>0</v>
      </c>
      <c r="AK19" s="3">
        <v>14</v>
      </c>
      <c r="AM19" s="229"/>
      <c r="AO19" s="3">
        <v>64.8</v>
      </c>
      <c r="AP19" s="3">
        <v>38.5</v>
      </c>
      <c r="AQ19" s="3">
        <v>48.06</v>
      </c>
      <c r="AU19" s="3">
        <v>70</v>
      </c>
    </row>
    <row r="20" spans="1:47" ht="14.25" customHeight="1" x14ac:dyDescent="0.3">
      <c r="A20"/>
      <c r="B20" s="33"/>
      <c r="C20" s="284"/>
      <c r="D20" s="284"/>
      <c r="E20" s="266"/>
      <c r="F20" s="30"/>
      <c r="G20" s="30"/>
      <c r="H20" s="276"/>
      <c r="I20" s="276"/>
      <c r="J20" s="55"/>
      <c r="K20" s="270"/>
      <c r="M20" s="270"/>
      <c r="O20" s="292"/>
      <c r="P20" s="12"/>
      <c r="Q20" s="92"/>
      <c r="R20" s="102"/>
      <c r="S20" s="102"/>
      <c r="T20" s="99"/>
      <c r="U20" s="99"/>
      <c r="V20" s="99"/>
      <c r="W20" s="99"/>
      <c r="AC20" s="131">
        <f t="shared" si="1"/>
        <v>0</v>
      </c>
      <c r="AD20" s="131">
        <f t="shared" si="2"/>
        <v>0</v>
      </c>
      <c r="AE20" s="135">
        <v>2002</v>
      </c>
      <c r="AF20" s="197">
        <v>309000</v>
      </c>
      <c r="AJ20" s="3">
        <f t="shared" si="0"/>
        <v>0</v>
      </c>
      <c r="AK20" s="3">
        <v>15</v>
      </c>
      <c r="AL20" s="229">
        <v>1000000</v>
      </c>
      <c r="AM20" s="229">
        <f t="shared" ref="AM20:AM83" si="3">+AL20-AL21</f>
        <v>485</v>
      </c>
      <c r="AN20" s="230">
        <f t="shared" ref="AN20:AN83" si="4">+AM20/AL20</f>
        <v>4.8500000000000003E-4</v>
      </c>
      <c r="AO20" s="3">
        <v>64.8</v>
      </c>
      <c r="AP20" s="3">
        <v>38.090000000000003</v>
      </c>
      <c r="AQ20" s="3">
        <v>47.51</v>
      </c>
      <c r="AR20" s="229">
        <v>1000000</v>
      </c>
      <c r="AS20" s="229">
        <f t="shared" ref="AS20:AS83" si="5">+AR20-AR21</f>
        <v>272</v>
      </c>
      <c r="AT20" s="232">
        <f t="shared" ref="AT20:AT83" si="6">+AS20/AR20</f>
        <v>2.72E-4</v>
      </c>
      <c r="AU20" s="3">
        <v>70</v>
      </c>
    </row>
    <row r="21" spans="1:47" ht="22.5" customHeight="1" x14ac:dyDescent="0.3">
      <c r="A21"/>
      <c r="B21" s="33"/>
      <c r="C21" s="289" t="str">
        <f>+J3</f>
        <v>YEILY ALEJANDRA ALAGUEÑO RIASCOS</v>
      </c>
      <c r="D21" s="290"/>
      <c r="E21" s="18" t="s">
        <v>397</v>
      </c>
      <c r="F21" s="15"/>
      <c r="G21" s="28"/>
      <c r="H21" s="291"/>
      <c r="I21" s="291"/>
      <c r="J21" s="56"/>
      <c r="K21" s="45">
        <f>+'daño moral (CSJ)'!C17</f>
        <v>18968836.580516905</v>
      </c>
      <c r="M21" s="45">
        <f>+K21</f>
        <v>18968836.580516905</v>
      </c>
      <c r="O21" s="79">
        <f>+M21+K21</f>
        <v>37937673.161033809</v>
      </c>
      <c r="P21" s="29"/>
      <c r="Q21" s="93"/>
      <c r="R21" s="57"/>
      <c r="S21" s="63"/>
      <c r="T21" s="64"/>
      <c r="U21" s="57"/>
      <c r="V21" s="63"/>
      <c r="W21" s="64"/>
      <c r="AC21" s="131">
        <f t="shared" si="1"/>
        <v>0</v>
      </c>
      <c r="AD21" s="131">
        <f t="shared" si="2"/>
        <v>0</v>
      </c>
      <c r="AE21" s="135">
        <v>2003</v>
      </c>
      <c r="AF21" s="197">
        <v>332000</v>
      </c>
      <c r="AJ21" s="3">
        <f t="shared" si="0"/>
        <v>0</v>
      </c>
      <c r="AK21" s="3">
        <v>16</v>
      </c>
      <c r="AL21" s="229">
        <v>999515</v>
      </c>
      <c r="AM21" s="229">
        <f t="shared" si="3"/>
        <v>496</v>
      </c>
      <c r="AN21" s="230">
        <f t="shared" si="4"/>
        <v>4.9624067672821319E-4</v>
      </c>
      <c r="AO21" s="3">
        <v>63.9</v>
      </c>
      <c r="AP21" s="3">
        <v>37.67</v>
      </c>
      <c r="AQ21" s="3">
        <v>46.95</v>
      </c>
      <c r="AR21" s="229">
        <v>999728</v>
      </c>
      <c r="AS21" s="229">
        <f t="shared" si="5"/>
        <v>278</v>
      </c>
      <c r="AT21" s="232">
        <f t="shared" si="6"/>
        <v>2.780756365731479E-4</v>
      </c>
      <c r="AU21" s="3">
        <v>69.099999999999994</v>
      </c>
    </row>
    <row r="22" spans="1:47" ht="15" hidden="1" customHeight="1" x14ac:dyDescent="0.3">
      <c r="A22"/>
      <c r="B22" s="33"/>
      <c r="C22" s="305"/>
      <c r="D22" s="306"/>
      <c r="E22" s="256"/>
      <c r="F22" s="253"/>
      <c r="G22" s="28"/>
      <c r="H22" s="309"/>
      <c r="I22" s="309"/>
      <c r="J22" s="11"/>
      <c r="K22" s="9"/>
      <c r="M22" s="45"/>
      <c r="O22" s="79">
        <f>+M22</f>
        <v>0</v>
      </c>
      <c r="P22" s="29"/>
      <c r="Q22" s="94"/>
      <c r="R22" s="103"/>
      <c r="S22" s="103"/>
      <c r="T22" s="103"/>
      <c r="U22" s="103"/>
      <c r="V22" s="98"/>
      <c r="W22" s="98"/>
      <c r="AC22" s="131">
        <f t="shared" si="1"/>
        <v>0</v>
      </c>
      <c r="AD22" s="131">
        <f t="shared" si="2"/>
        <v>0</v>
      </c>
      <c r="AE22" s="135">
        <v>2004</v>
      </c>
      <c r="AF22" s="197">
        <v>358000</v>
      </c>
      <c r="AJ22" s="3">
        <f t="shared" si="0"/>
        <v>0</v>
      </c>
      <c r="AK22" s="3">
        <v>17</v>
      </c>
      <c r="AL22" s="229">
        <v>999019</v>
      </c>
      <c r="AM22" s="229">
        <f t="shared" si="3"/>
        <v>509</v>
      </c>
      <c r="AN22" s="230">
        <f t="shared" si="4"/>
        <v>5.0949981932275565E-4</v>
      </c>
      <c r="AO22" s="3">
        <v>62.9</v>
      </c>
      <c r="AP22" s="3">
        <v>37.25</v>
      </c>
      <c r="AQ22" s="3">
        <v>46.39</v>
      </c>
      <c r="AR22" s="229">
        <v>999450</v>
      </c>
      <c r="AS22" s="229">
        <f t="shared" si="5"/>
        <v>285</v>
      </c>
      <c r="AT22" s="232">
        <f t="shared" si="6"/>
        <v>2.8515683625994297E-4</v>
      </c>
      <c r="AU22" s="3">
        <v>68.099999999999994</v>
      </c>
    </row>
    <row r="23" spans="1:47" ht="14.25" hidden="1" customHeight="1" x14ac:dyDescent="0.3">
      <c r="A23"/>
      <c r="B23" s="33"/>
      <c r="C23" s="310"/>
      <c r="D23" s="306"/>
      <c r="E23" s="18"/>
      <c r="F23" s="253"/>
      <c r="G23" s="28"/>
      <c r="H23" s="309"/>
      <c r="I23" s="309"/>
      <c r="J23" s="11"/>
      <c r="K23" s="9"/>
      <c r="M23" s="45"/>
      <c r="O23" s="79"/>
      <c r="P23" s="29"/>
      <c r="Q23" s="94"/>
      <c r="R23" s="103"/>
      <c r="S23" s="103"/>
      <c r="T23" s="103"/>
      <c r="U23" s="103"/>
      <c r="V23" s="103"/>
      <c r="W23" s="103"/>
      <c r="AC23" s="131">
        <f t="shared" si="1"/>
        <v>0</v>
      </c>
      <c r="AD23" s="131">
        <f t="shared" si="2"/>
        <v>0</v>
      </c>
      <c r="AE23" s="135">
        <v>2005</v>
      </c>
      <c r="AF23" s="197">
        <v>381500</v>
      </c>
      <c r="AJ23" s="3">
        <f t="shared" si="0"/>
        <v>67.099999999999994</v>
      </c>
      <c r="AK23" s="3">
        <v>18</v>
      </c>
      <c r="AL23" s="229">
        <v>998510</v>
      </c>
      <c r="AM23" s="229">
        <f t="shared" si="3"/>
        <v>522</v>
      </c>
      <c r="AN23" s="230">
        <f t="shared" si="4"/>
        <v>5.2277894062152609E-4</v>
      </c>
      <c r="AO23" s="3">
        <v>61.9</v>
      </c>
      <c r="AP23" s="3">
        <v>36.82</v>
      </c>
      <c r="AQ23" s="3">
        <v>45.82</v>
      </c>
      <c r="AR23" s="229">
        <v>999165</v>
      </c>
      <c r="AS23" s="229">
        <f t="shared" si="5"/>
        <v>293</v>
      </c>
      <c r="AT23" s="232">
        <f t="shared" si="6"/>
        <v>2.9324485945764715E-4</v>
      </c>
      <c r="AU23" s="3">
        <v>67.099999999999994</v>
      </c>
    </row>
    <row r="24" spans="1:47" ht="14.25" hidden="1" customHeight="1" x14ac:dyDescent="0.3">
      <c r="A24"/>
      <c r="B24" s="33"/>
      <c r="C24" s="303"/>
      <c r="D24" s="303"/>
      <c r="E24" s="18"/>
      <c r="F24" s="253"/>
      <c r="G24" s="28"/>
      <c r="H24" s="309"/>
      <c r="I24" s="309"/>
      <c r="J24" s="11"/>
      <c r="K24" s="9"/>
      <c r="M24" s="45"/>
      <c r="O24" s="80"/>
      <c r="P24" s="29"/>
      <c r="Q24" s="94"/>
      <c r="R24" s="103"/>
      <c r="S24" s="103"/>
      <c r="T24" s="103"/>
      <c r="U24" s="103"/>
      <c r="V24" s="103"/>
      <c r="W24" s="103"/>
      <c r="AC24" s="131">
        <f t="shared" si="1"/>
        <v>0</v>
      </c>
      <c r="AD24" s="131">
        <f t="shared" si="2"/>
        <v>0</v>
      </c>
      <c r="AE24" s="135">
        <v>2006</v>
      </c>
      <c r="AF24" s="197">
        <v>408000</v>
      </c>
      <c r="AJ24" s="3">
        <f t="shared" si="0"/>
        <v>0</v>
      </c>
      <c r="AK24" s="3">
        <v>19</v>
      </c>
      <c r="AL24" s="229">
        <v>997988</v>
      </c>
      <c r="AM24" s="229">
        <f t="shared" si="3"/>
        <v>537</v>
      </c>
      <c r="AN24" s="230">
        <f t="shared" si="4"/>
        <v>5.3808262223593872E-4</v>
      </c>
      <c r="AO24" s="3">
        <v>60.9</v>
      </c>
      <c r="AP24" s="3">
        <v>36.39</v>
      </c>
      <c r="AQ24" s="3">
        <v>45.25</v>
      </c>
      <c r="AR24" s="229">
        <v>998872</v>
      </c>
      <c r="AS24" s="229">
        <f t="shared" si="5"/>
        <v>302</v>
      </c>
      <c r="AT24" s="232">
        <f t="shared" si="6"/>
        <v>3.023410406939027E-4</v>
      </c>
      <c r="AU24" s="3">
        <v>66.099999999999994</v>
      </c>
    </row>
    <row r="25" spans="1:47" ht="14.25" hidden="1" customHeight="1" x14ac:dyDescent="0.3">
      <c r="A25"/>
      <c r="B25" s="33"/>
      <c r="C25" s="303"/>
      <c r="D25" s="303"/>
      <c r="E25" s="18"/>
      <c r="F25" s="253"/>
      <c r="G25" s="28"/>
      <c r="H25" s="11"/>
      <c r="I25" s="11"/>
      <c r="J25" s="11"/>
      <c r="K25" s="9"/>
      <c r="M25" s="45"/>
      <c r="O25" s="80"/>
      <c r="P25" s="29"/>
      <c r="Q25" s="94"/>
      <c r="R25" s="103"/>
      <c r="S25" s="103"/>
      <c r="T25" s="103"/>
      <c r="U25" s="103"/>
      <c r="V25" s="103"/>
      <c r="W25" s="103"/>
      <c r="AA25" s="81" t="str">
        <f>IF(E13="","",IF(E13=0,123,""))</f>
        <v/>
      </c>
      <c r="AC25" s="131">
        <f t="shared" si="1"/>
        <v>0</v>
      </c>
      <c r="AD25" s="131">
        <f t="shared" si="2"/>
        <v>0</v>
      </c>
      <c r="AE25" s="135">
        <v>2007</v>
      </c>
      <c r="AF25" s="197">
        <v>433700</v>
      </c>
      <c r="AJ25" s="3">
        <f t="shared" si="0"/>
        <v>0</v>
      </c>
      <c r="AK25" s="3">
        <v>20</v>
      </c>
      <c r="AL25" s="229">
        <v>997451</v>
      </c>
      <c r="AM25" s="229">
        <f t="shared" si="3"/>
        <v>553</v>
      </c>
      <c r="AN25" s="230">
        <f t="shared" si="4"/>
        <v>5.5441319924487518E-4</v>
      </c>
      <c r="AO25" s="3">
        <v>60</v>
      </c>
      <c r="AP25" s="3">
        <v>35.950000000000003</v>
      </c>
      <c r="AQ25" s="3">
        <v>44.68</v>
      </c>
      <c r="AR25" s="229">
        <v>998570</v>
      </c>
      <c r="AS25" s="229">
        <f t="shared" si="5"/>
        <v>311</v>
      </c>
      <c r="AT25" s="232">
        <f t="shared" si="6"/>
        <v>3.114453668746307E-4</v>
      </c>
      <c r="AU25" s="3">
        <v>65.099999999999994</v>
      </c>
    </row>
    <row r="26" spans="1:47" ht="14.25" hidden="1" customHeight="1" x14ac:dyDescent="0.3">
      <c r="A26"/>
      <c r="B26" s="33"/>
      <c r="C26" s="311"/>
      <c r="D26" s="303"/>
      <c r="E26" s="18"/>
      <c r="F26" s="32"/>
      <c r="G26" s="28"/>
      <c r="H26" s="11"/>
      <c r="I26" s="11"/>
      <c r="J26" s="11"/>
      <c r="K26" s="9"/>
      <c r="M26" s="45"/>
      <c r="O26" s="80"/>
      <c r="P26" s="29"/>
      <c r="Q26" s="94"/>
      <c r="R26" s="103"/>
      <c r="S26" s="103"/>
      <c r="T26" s="103"/>
      <c r="U26" s="103"/>
      <c r="V26" s="103"/>
      <c r="W26" s="103"/>
      <c r="AA26" s="81" t="str">
        <f>IF(E13&gt;0,"TTT","")</f>
        <v>TTT</v>
      </c>
      <c r="AC26" s="131">
        <f t="shared" si="1"/>
        <v>0</v>
      </c>
      <c r="AD26" s="131">
        <f t="shared" si="2"/>
        <v>0</v>
      </c>
      <c r="AE26" s="135">
        <v>2008</v>
      </c>
      <c r="AF26" s="197">
        <v>461500</v>
      </c>
      <c r="AJ26" s="3">
        <f t="shared" si="0"/>
        <v>0</v>
      </c>
      <c r="AK26" s="3">
        <v>21</v>
      </c>
      <c r="AL26" s="229">
        <v>996898</v>
      </c>
      <c r="AM26" s="229">
        <f t="shared" si="3"/>
        <v>571</v>
      </c>
      <c r="AN26" s="230">
        <f t="shared" si="4"/>
        <v>5.7277675348932388E-4</v>
      </c>
      <c r="AO26" s="3">
        <v>59</v>
      </c>
      <c r="AP26" s="3">
        <v>35.51</v>
      </c>
      <c r="AQ26" s="3">
        <v>44.1</v>
      </c>
      <c r="AR26" s="229">
        <v>998259</v>
      </c>
      <c r="AS26" s="229">
        <f t="shared" si="5"/>
        <v>321</v>
      </c>
      <c r="AT26" s="232">
        <f t="shared" si="6"/>
        <v>3.2155983567390829E-4</v>
      </c>
      <c r="AU26" s="3">
        <v>64.2</v>
      </c>
    </row>
    <row r="27" spans="1:47" ht="14.25" hidden="1" customHeight="1" x14ac:dyDescent="0.3">
      <c r="A27"/>
      <c r="B27" s="33"/>
      <c r="C27" s="303"/>
      <c r="D27" s="303"/>
      <c r="E27" s="18"/>
      <c r="F27" s="32"/>
      <c r="G27" s="28"/>
      <c r="H27" s="11"/>
      <c r="I27" s="11"/>
      <c r="J27" s="11"/>
      <c r="K27" s="9"/>
      <c r="M27" s="31"/>
      <c r="O27" s="80"/>
      <c r="P27" s="29"/>
      <c r="Q27" s="94"/>
      <c r="R27" s="103"/>
      <c r="S27" s="103"/>
      <c r="T27" s="103"/>
      <c r="U27" s="103"/>
      <c r="V27" s="103"/>
      <c r="W27" s="103"/>
      <c r="AA27" s="81" t="str">
        <f>IF(E15="NO","TTT","")</f>
        <v>TTT</v>
      </c>
      <c r="AC27" s="131">
        <f t="shared" si="1"/>
        <v>0</v>
      </c>
      <c r="AD27" s="131">
        <f t="shared" si="2"/>
        <v>0</v>
      </c>
      <c r="AE27" s="135">
        <v>2009</v>
      </c>
      <c r="AF27" s="197">
        <v>496900</v>
      </c>
      <c r="AJ27" s="3">
        <f t="shared" si="0"/>
        <v>0</v>
      </c>
      <c r="AK27" s="3">
        <v>22</v>
      </c>
      <c r="AL27" s="229">
        <v>996327</v>
      </c>
      <c r="AM27" s="229">
        <f t="shared" si="3"/>
        <v>591</v>
      </c>
      <c r="AN27" s="230">
        <f t="shared" si="4"/>
        <v>5.9317874553234027E-4</v>
      </c>
      <c r="AO27" s="3">
        <v>58</v>
      </c>
      <c r="AP27" s="3">
        <v>35.06</v>
      </c>
      <c r="AQ27" s="3">
        <v>43.52</v>
      </c>
      <c r="AR27" s="229">
        <v>997938</v>
      </c>
      <c r="AS27" s="229">
        <f t="shared" si="5"/>
        <v>332</v>
      </c>
      <c r="AT27" s="232">
        <f t="shared" si="6"/>
        <v>3.3268599852896675E-4</v>
      </c>
      <c r="AU27" s="3">
        <v>63.2</v>
      </c>
    </row>
    <row r="28" spans="1:47" ht="14.25" hidden="1" customHeight="1" x14ac:dyDescent="0.3">
      <c r="A28"/>
      <c r="B28" s="33"/>
      <c r="C28" s="303"/>
      <c r="D28" s="303"/>
      <c r="E28" s="18"/>
      <c r="F28" s="32"/>
      <c r="G28" s="28"/>
      <c r="H28" s="11"/>
      <c r="I28" s="11"/>
      <c r="J28" s="11"/>
      <c r="K28" s="9"/>
      <c r="M28" s="31"/>
      <c r="O28" s="80"/>
      <c r="P28" s="29"/>
      <c r="Q28" s="94"/>
      <c r="R28" s="103"/>
      <c r="S28" s="103"/>
      <c r="T28" s="103"/>
      <c r="U28" s="103"/>
      <c r="V28" s="103"/>
      <c r="W28" s="103"/>
      <c r="AC28" s="131">
        <f t="shared" si="1"/>
        <v>0</v>
      </c>
      <c r="AD28" s="131">
        <f t="shared" si="2"/>
        <v>0</v>
      </c>
      <c r="AE28" s="135">
        <v>2010</v>
      </c>
      <c r="AF28" s="197">
        <v>515000</v>
      </c>
      <c r="AJ28" s="3">
        <f t="shared" si="0"/>
        <v>0</v>
      </c>
      <c r="AK28" s="3">
        <v>23</v>
      </c>
      <c r="AL28" s="229">
        <v>995736</v>
      </c>
      <c r="AM28" s="229">
        <f t="shared" si="3"/>
        <v>612</v>
      </c>
      <c r="AN28" s="230">
        <f t="shared" si="4"/>
        <v>6.1462074284750179E-4</v>
      </c>
      <c r="AO28" s="3">
        <v>57.1</v>
      </c>
      <c r="AP28" s="3">
        <v>34.61</v>
      </c>
      <c r="AQ28" s="3">
        <v>42.94</v>
      </c>
      <c r="AR28" s="229">
        <v>997606</v>
      </c>
      <c r="AS28" s="229">
        <f t="shared" si="5"/>
        <v>344</v>
      </c>
      <c r="AT28" s="232">
        <f t="shared" si="6"/>
        <v>3.448255122763897E-4</v>
      </c>
      <c r="AU28" s="3">
        <v>62.2</v>
      </c>
    </row>
    <row r="29" spans="1:47" ht="14.25" hidden="1" customHeight="1" x14ac:dyDescent="0.3">
      <c r="A29"/>
      <c r="B29" s="33"/>
      <c r="C29" s="303"/>
      <c r="D29" s="303"/>
      <c r="E29" s="18"/>
      <c r="F29" s="32"/>
      <c r="G29" s="28"/>
      <c r="H29" s="11"/>
      <c r="I29" s="11"/>
      <c r="J29" s="11"/>
      <c r="K29" s="9"/>
      <c r="M29" s="31"/>
      <c r="O29" s="80"/>
      <c r="P29" s="29"/>
      <c r="Q29" s="94"/>
      <c r="R29" s="103"/>
      <c r="S29" s="103"/>
      <c r="T29" s="103"/>
      <c r="U29" s="103"/>
      <c r="V29" s="103"/>
      <c r="W29" s="103"/>
      <c r="AC29" s="131">
        <f t="shared" si="1"/>
        <v>0</v>
      </c>
      <c r="AD29" s="131">
        <f t="shared" si="2"/>
        <v>0</v>
      </c>
      <c r="AE29" s="135">
        <v>2011</v>
      </c>
      <c r="AF29" s="197">
        <v>535600</v>
      </c>
      <c r="AJ29" s="3">
        <f t="shared" si="0"/>
        <v>0</v>
      </c>
      <c r="AK29" s="3">
        <v>24</v>
      </c>
      <c r="AL29" s="229">
        <v>995124</v>
      </c>
      <c r="AM29" s="229">
        <f t="shared" si="3"/>
        <v>636</v>
      </c>
      <c r="AN29" s="230">
        <f t="shared" si="4"/>
        <v>6.3911633123108272E-4</v>
      </c>
      <c r="AO29" s="3">
        <v>56.1</v>
      </c>
      <c r="AP29" s="3">
        <v>34.159999999999997</v>
      </c>
      <c r="AQ29" s="3">
        <v>42.35</v>
      </c>
      <c r="AR29" s="229">
        <v>997262</v>
      </c>
      <c r="AS29" s="229">
        <f t="shared" si="5"/>
        <v>357</v>
      </c>
      <c r="AT29" s="232">
        <f t="shared" si="6"/>
        <v>3.5798014964974099E-4</v>
      </c>
      <c r="AU29" s="3">
        <v>61.2</v>
      </c>
    </row>
    <row r="30" spans="1:47" ht="14.25" hidden="1" customHeight="1" x14ac:dyDescent="0.3">
      <c r="A30"/>
      <c r="B30" s="33"/>
      <c r="C30" s="303"/>
      <c r="D30" s="303"/>
      <c r="E30" s="18"/>
      <c r="F30" s="32"/>
      <c r="G30" s="28"/>
      <c r="H30" s="11"/>
      <c r="I30" s="11"/>
      <c r="J30" s="11"/>
      <c r="K30" s="9"/>
      <c r="M30" s="31"/>
      <c r="O30" s="80"/>
      <c r="P30" s="29"/>
      <c r="Q30" s="94"/>
      <c r="R30" s="103"/>
      <c r="S30" s="103"/>
      <c r="T30" s="103"/>
      <c r="U30" s="103"/>
      <c r="V30" s="103"/>
      <c r="W30" s="103"/>
      <c r="AC30" s="131">
        <f t="shared" si="1"/>
        <v>0</v>
      </c>
      <c r="AD30" s="131">
        <f t="shared" si="2"/>
        <v>0</v>
      </c>
      <c r="AE30" s="135">
        <v>2012</v>
      </c>
      <c r="AF30" s="197">
        <v>566700</v>
      </c>
      <c r="AJ30" s="3">
        <f t="shared" si="0"/>
        <v>0</v>
      </c>
      <c r="AK30" s="3">
        <v>25</v>
      </c>
      <c r="AL30" s="229">
        <v>994488</v>
      </c>
      <c r="AM30" s="229">
        <f t="shared" si="3"/>
        <v>662</v>
      </c>
      <c r="AN30" s="230">
        <f t="shared" si="4"/>
        <v>6.6566916845653239E-4</v>
      </c>
      <c r="AO30" s="3">
        <v>55.1</v>
      </c>
      <c r="AP30" s="3">
        <v>33.700000000000003</v>
      </c>
      <c r="AQ30" s="3">
        <v>41.75</v>
      </c>
      <c r="AR30" s="229">
        <v>996905</v>
      </c>
      <c r="AS30" s="229">
        <f t="shared" si="5"/>
        <v>372</v>
      </c>
      <c r="AT30" s="232">
        <f t="shared" si="6"/>
        <v>3.7315491446025448E-4</v>
      </c>
      <c r="AU30" s="3">
        <v>60.2</v>
      </c>
    </row>
    <row r="31" spans="1:47" ht="14.25" hidden="1" customHeight="1" x14ac:dyDescent="0.3">
      <c r="A31" s="130"/>
      <c r="B31" s="33"/>
      <c r="C31" s="303"/>
      <c r="D31" s="303"/>
      <c r="E31" s="18"/>
      <c r="F31" s="32"/>
      <c r="G31" s="28"/>
      <c r="H31" s="11"/>
      <c r="I31" s="11"/>
      <c r="J31" s="11"/>
      <c r="K31" s="9"/>
      <c r="M31" s="31"/>
      <c r="O31" s="80"/>
      <c r="P31" s="29"/>
      <c r="Q31" s="94"/>
      <c r="R31" s="103"/>
      <c r="S31" s="103"/>
      <c r="T31" s="103"/>
      <c r="U31" s="103"/>
      <c r="V31" s="103"/>
      <c r="W31" s="103"/>
      <c r="AC31" s="131">
        <f>+AD31*AF31</f>
        <v>0</v>
      </c>
      <c r="AD31" s="131">
        <f t="shared" si="2"/>
        <v>0</v>
      </c>
      <c r="AE31" s="135">
        <v>2013</v>
      </c>
      <c r="AF31" s="197">
        <v>589500</v>
      </c>
      <c r="AJ31" s="3">
        <f t="shared" si="0"/>
        <v>0</v>
      </c>
      <c r="AK31" s="3">
        <v>26</v>
      </c>
      <c r="AL31" s="229">
        <v>993826</v>
      </c>
      <c r="AM31" s="229">
        <f t="shared" si="3"/>
        <v>690</v>
      </c>
      <c r="AN31" s="230">
        <f t="shared" si="4"/>
        <v>6.9428652500538326E-4</v>
      </c>
      <c r="AO31" s="3">
        <v>54.2</v>
      </c>
      <c r="AP31" s="3">
        <v>33.24</v>
      </c>
      <c r="AQ31" s="3">
        <v>41.16</v>
      </c>
      <c r="AR31" s="229">
        <v>996533</v>
      </c>
      <c r="AS31" s="229">
        <f t="shared" si="5"/>
        <v>388</v>
      </c>
      <c r="AT31" s="232">
        <f t="shared" si="6"/>
        <v>3.8934987602016189E-4</v>
      </c>
      <c r="AU31" s="3">
        <v>59.3</v>
      </c>
    </row>
    <row r="32" spans="1:47" ht="14.25" hidden="1" customHeight="1" x14ac:dyDescent="0.3">
      <c r="A32" s="130"/>
      <c r="B32" s="33"/>
      <c r="C32" s="303"/>
      <c r="D32" s="303"/>
      <c r="E32" s="18"/>
      <c r="F32" s="32"/>
      <c r="G32" s="28"/>
      <c r="H32" s="11"/>
      <c r="I32" s="11"/>
      <c r="J32" s="11"/>
      <c r="K32" s="9"/>
      <c r="M32" s="31"/>
      <c r="O32" s="80"/>
      <c r="P32" s="29"/>
      <c r="Q32" s="94"/>
      <c r="R32" s="103"/>
      <c r="S32" s="103"/>
      <c r="T32" s="103"/>
      <c r="U32" s="103"/>
      <c r="V32" s="103"/>
      <c r="W32" s="103"/>
      <c r="AC32" s="131">
        <f t="shared" si="1"/>
        <v>0</v>
      </c>
      <c r="AD32" s="131">
        <f t="shared" si="2"/>
        <v>0</v>
      </c>
      <c r="AE32" s="135">
        <v>2014</v>
      </c>
      <c r="AF32" s="197">
        <v>616000</v>
      </c>
      <c r="AJ32" s="3">
        <f t="shared" si="0"/>
        <v>0</v>
      </c>
      <c r="AK32" s="3">
        <v>27</v>
      </c>
      <c r="AL32" s="229">
        <v>993136</v>
      </c>
      <c r="AM32" s="229">
        <f t="shared" si="3"/>
        <v>721</v>
      </c>
      <c r="AN32" s="230">
        <f t="shared" si="4"/>
        <v>7.2598314833013803E-4</v>
      </c>
      <c r="AO32" s="3">
        <v>53.2</v>
      </c>
      <c r="AP32" s="3">
        <v>32.770000000000003</v>
      </c>
      <c r="AQ32" s="3">
        <v>40.56</v>
      </c>
      <c r="AR32" s="229">
        <v>996145</v>
      </c>
      <c r="AS32" s="229">
        <f t="shared" si="5"/>
        <v>405</v>
      </c>
      <c r="AT32" s="232">
        <f t="shared" si="6"/>
        <v>4.0656731700706224E-4</v>
      </c>
      <c r="AU32" s="3">
        <v>58.3</v>
      </c>
    </row>
    <row r="33" spans="1:56" ht="14.25" hidden="1" customHeight="1" x14ac:dyDescent="0.3">
      <c r="A33" s="130"/>
      <c r="B33" s="33"/>
      <c r="C33" s="303"/>
      <c r="D33" s="303"/>
      <c r="E33" s="18"/>
      <c r="F33" s="32"/>
      <c r="G33" s="28"/>
      <c r="H33" s="11"/>
      <c r="I33" s="11"/>
      <c r="J33" s="11"/>
      <c r="K33" s="9"/>
      <c r="M33" s="31"/>
      <c r="O33" s="80"/>
      <c r="P33" s="29"/>
      <c r="Q33" s="94"/>
      <c r="R33" s="103"/>
      <c r="S33" s="103"/>
      <c r="T33" s="103"/>
      <c r="U33" s="103"/>
      <c r="V33" s="103"/>
      <c r="W33" s="103"/>
      <c r="AC33" s="131">
        <f t="shared" si="1"/>
        <v>0</v>
      </c>
      <c r="AD33" s="131">
        <f t="shared" si="2"/>
        <v>0</v>
      </c>
      <c r="AE33" s="135">
        <v>2015</v>
      </c>
      <c r="AF33" s="197">
        <v>644350</v>
      </c>
      <c r="AJ33" s="3">
        <f t="shared" si="0"/>
        <v>0</v>
      </c>
      <c r="AK33" s="3">
        <v>28</v>
      </c>
      <c r="AL33" s="229">
        <v>992415</v>
      </c>
      <c r="AM33" s="229">
        <f t="shared" si="3"/>
        <v>755</v>
      </c>
      <c r="AN33" s="230">
        <f t="shared" si="4"/>
        <v>7.6077044381634698E-4</v>
      </c>
      <c r="AO33" s="3">
        <v>52.3</v>
      </c>
      <c r="AP33" s="3">
        <v>32.299999999999997</v>
      </c>
      <c r="AQ33" s="3">
        <v>39.950000000000003</v>
      </c>
      <c r="AR33" s="229">
        <v>995740</v>
      </c>
      <c r="AS33" s="229">
        <f t="shared" si="5"/>
        <v>425</v>
      </c>
      <c r="AT33" s="232">
        <f t="shared" si="6"/>
        <v>4.2681824572679615E-4</v>
      </c>
      <c r="AU33" s="3">
        <v>57.3</v>
      </c>
    </row>
    <row r="34" spans="1:56" ht="14.25" hidden="1" customHeight="1" x14ac:dyDescent="0.3">
      <c r="A34" s="130"/>
      <c r="B34" s="33"/>
      <c r="C34" s="303"/>
      <c r="D34" s="303"/>
      <c r="E34" s="18"/>
      <c r="F34" s="32"/>
      <c r="G34" s="28"/>
      <c r="H34" s="11"/>
      <c r="I34" s="11"/>
      <c r="J34" s="11"/>
      <c r="K34" s="9"/>
      <c r="M34" s="31"/>
      <c r="O34" s="80"/>
      <c r="P34" s="29"/>
      <c r="Q34" s="94"/>
      <c r="R34" s="103"/>
      <c r="S34" s="103"/>
      <c r="T34" s="103"/>
      <c r="U34" s="103"/>
      <c r="V34" s="103"/>
      <c r="W34" s="103"/>
      <c r="AC34" s="131">
        <f t="shared" si="1"/>
        <v>0</v>
      </c>
      <c r="AD34" s="131">
        <f t="shared" si="2"/>
        <v>0</v>
      </c>
      <c r="AE34" s="135">
        <v>2016</v>
      </c>
      <c r="AF34" s="198">
        <v>689454</v>
      </c>
      <c r="AJ34" s="3">
        <f t="shared" si="0"/>
        <v>0</v>
      </c>
      <c r="AK34" s="3">
        <v>29</v>
      </c>
      <c r="AL34" s="229">
        <v>991660</v>
      </c>
      <c r="AM34" s="229">
        <f t="shared" si="3"/>
        <v>792</v>
      </c>
      <c r="AN34" s="230">
        <f t="shared" si="4"/>
        <v>7.9866083133331987E-4</v>
      </c>
      <c r="AO34" s="3">
        <v>51.3</v>
      </c>
      <c r="AP34" s="3">
        <v>31.82</v>
      </c>
      <c r="AQ34" s="3">
        <v>39.35</v>
      </c>
      <c r="AR34" s="229">
        <v>995315</v>
      </c>
      <c r="AS34" s="229">
        <f t="shared" si="5"/>
        <v>446</v>
      </c>
      <c r="AT34" s="232">
        <f t="shared" si="6"/>
        <v>4.4809934543335529E-4</v>
      </c>
      <c r="AU34" s="3">
        <v>56.3</v>
      </c>
    </row>
    <row r="35" spans="1:56" ht="14.25" hidden="1" customHeight="1" x14ac:dyDescent="0.3">
      <c r="B35" s="33"/>
      <c r="C35" s="303"/>
      <c r="D35" s="303"/>
      <c r="E35" s="18"/>
      <c r="F35" s="32"/>
      <c r="G35" s="28"/>
      <c r="H35" s="11"/>
      <c r="I35" s="11"/>
      <c r="J35" s="11"/>
      <c r="K35" s="9"/>
      <c r="M35" s="31"/>
      <c r="O35" s="80"/>
      <c r="P35" s="29"/>
      <c r="Q35" s="94"/>
      <c r="R35" s="103"/>
      <c r="S35" s="103"/>
      <c r="T35" s="103"/>
      <c r="U35" s="103"/>
      <c r="V35" s="103"/>
      <c r="W35" s="103"/>
      <c r="AC35" s="131">
        <f t="shared" si="1"/>
        <v>0</v>
      </c>
      <c r="AD35" s="131">
        <f t="shared" si="2"/>
        <v>0</v>
      </c>
      <c r="AE35" s="135">
        <v>2017</v>
      </c>
      <c r="AF35" s="198">
        <v>717737</v>
      </c>
      <c r="AJ35" s="3">
        <f t="shared" si="0"/>
        <v>0</v>
      </c>
      <c r="AK35" s="3">
        <v>30</v>
      </c>
      <c r="AL35" s="229">
        <v>990868</v>
      </c>
      <c r="AM35" s="229">
        <f t="shared" si="3"/>
        <v>832</v>
      </c>
      <c r="AN35" s="230">
        <f t="shared" si="4"/>
        <v>8.3966784677676546E-4</v>
      </c>
      <c r="AO35" s="3">
        <v>50.3</v>
      </c>
      <c r="AP35" s="3">
        <v>31.35</v>
      </c>
      <c r="AQ35" s="3">
        <v>38.74</v>
      </c>
      <c r="AR35" s="229">
        <v>994869</v>
      </c>
      <c r="AS35" s="229">
        <f t="shared" si="5"/>
        <v>469</v>
      </c>
      <c r="AT35" s="232">
        <f t="shared" si="6"/>
        <v>4.7141885011996556E-4</v>
      </c>
      <c r="AU35" s="3">
        <v>55.4</v>
      </c>
    </row>
    <row r="36" spans="1:56" ht="14.25" hidden="1" customHeight="1" x14ac:dyDescent="0.3">
      <c r="B36" s="33"/>
      <c r="C36" s="305"/>
      <c r="D36" s="306"/>
      <c r="E36" s="18"/>
      <c r="F36" s="32"/>
      <c r="G36" s="28"/>
      <c r="H36" s="11"/>
      <c r="I36" s="11"/>
      <c r="J36" s="11"/>
      <c r="K36" s="9"/>
      <c r="M36" s="31"/>
      <c r="O36" s="80"/>
      <c r="P36" s="29"/>
      <c r="Q36" s="94"/>
      <c r="R36" s="103"/>
      <c r="S36" s="103"/>
      <c r="T36" s="103"/>
      <c r="U36" s="103"/>
      <c r="V36" s="103"/>
      <c r="W36" s="103"/>
      <c r="AC36" s="131">
        <f t="shared" si="1"/>
        <v>0</v>
      </c>
      <c r="AD36" s="131">
        <f t="shared" si="2"/>
        <v>0</v>
      </c>
      <c r="AE36" s="135">
        <v>2018</v>
      </c>
      <c r="AF36" s="198">
        <v>781242</v>
      </c>
      <c r="AJ36" s="3">
        <f t="shared" si="0"/>
        <v>0</v>
      </c>
      <c r="AK36" s="3">
        <v>31</v>
      </c>
      <c r="AL36" s="229">
        <v>990036</v>
      </c>
      <c r="AM36" s="229">
        <f t="shared" si="3"/>
        <v>877</v>
      </c>
      <c r="AN36" s="230">
        <f t="shared" si="4"/>
        <v>8.8582637399044076E-4</v>
      </c>
      <c r="AO36" s="3">
        <v>49.4</v>
      </c>
      <c r="AP36" s="3">
        <v>30.86</v>
      </c>
      <c r="AQ36" s="3">
        <v>38.119999999999997</v>
      </c>
      <c r="AR36" s="229">
        <v>994400</v>
      </c>
      <c r="AS36" s="229">
        <f t="shared" si="5"/>
        <v>494</v>
      </c>
      <c r="AT36" s="232">
        <f t="shared" si="6"/>
        <v>4.96781979082864E-4</v>
      </c>
      <c r="AU36" s="3">
        <v>54.4</v>
      </c>
    </row>
    <row r="37" spans="1:56" ht="14.25" hidden="1" customHeight="1" x14ac:dyDescent="0.3">
      <c r="B37" s="33"/>
      <c r="C37" s="305"/>
      <c r="D37" s="306"/>
      <c r="E37" s="18"/>
      <c r="F37" s="32"/>
      <c r="G37" s="28"/>
      <c r="H37" s="11"/>
      <c r="I37" s="11"/>
      <c r="J37" s="11"/>
      <c r="K37" s="9"/>
      <c r="M37" s="31"/>
      <c r="O37" s="80"/>
      <c r="P37" s="29"/>
      <c r="Q37" s="94"/>
      <c r="R37" s="103"/>
      <c r="S37" s="103"/>
      <c r="T37" s="103"/>
      <c r="U37" s="103"/>
      <c r="V37" s="103"/>
      <c r="W37" s="103"/>
      <c r="AC37" s="131">
        <f t="shared" ref="AC37" si="7">+AD37*AF37</f>
        <v>0</v>
      </c>
      <c r="AD37" s="131">
        <f t="shared" ref="AD37" si="8">+IF($AD$16=AE37,1,0)</f>
        <v>0</v>
      </c>
      <c r="AE37" s="135">
        <v>2019</v>
      </c>
      <c r="AF37" s="198">
        <v>828116</v>
      </c>
      <c r="AJ37" s="3">
        <f t="shared" ref="AJ37:AJ68" si="9">IF($AC$8=AK37,IF($E$10="H",AO37,IF($E$10="M",AU37,IF($E$10="H Invalido",AP37,IF($E$10="M Invalida",AQ37,0)))),0)</f>
        <v>0</v>
      </c>
      <c r="AK37" s="3">
        <v>32</v>
      </c>
      <c r="AL37" s="229">
        <v>989159</v>
      </c>
      <c r="AM37" s="229">
        <f t="shared" si="3"/>
        <v>926</v>
      </c>
      <c r="AN37" s="230">
        <f t="shared" si="4"/>
        <v>9.3614878902178512E-4</v>
      </c>
      <c r="AO37" s="3">
        <v>48.4</v>
      </c>
      <c r="AP37" s="3">
        <v>30.38</v>
      </c>
      <c r="AQ37" s="3">
        <v>37.51</v>
      </c>
      <c r="AR37" s="229">
        <v>993906</v>
      </c>
      <c r="AS37" s="229">
        <f t="shared" si="5"/>
        <v>522</v>
      </c>
      <c r="AT37" s="232">
        <f t="shared" si="6"/>
        <v>5.2520057228752019E-4</v>
      </c>
      <c r="AU37" s="3">
        <v>53.4</v>
      </c>
    </row>
    <row r="38" spans="1:56" ht="14.25" hidden="1" customHeight="1" x14ac:dyDescent="0.3">
      <c r="B38" s="33"/>
      <c r="C38" s="305"/>
      <c r="D38" s="306"/>
      <c r="E38" s="18"/>
      <c r="F38" s="32"/>
      <c r="G38" s="28"/>
      <c r="H38" s="11"/>
      <c r="I38" s="11"/>
      <c r="J38" s="11"/>
      <c r="K38" s="9"/>
      <c r="M38" s="31"/>
      <c r="O38" s="80"/>
      <c r="P38" s="29"/>
      <c r="Q38" s="94"/>
      <c r="R38" s="103"/>
      <c r="S38" s="103"/>
      <c r="T38" s="103"/>
      <c r="U38" s="103"/>
      <c r="V38" s="103"/>
      <c r="W38" s="103"/>
      <c r="AB38" s="131">
        <f ca="1">AC3-E9</f>
        <v>908</v>
      </c>
      <c r="AC38" s="131">
        <f>+AD38*AF38</f>
        <v>0</v>
      </c>
      <c r="AD38" s="131">
        <f t="shared" ref="AD38:AD41" si="10">+IF($AD$16=AE38,1,0)</f>
        <v>0</v>
      </c>
      <c r="AE38" s="135">
        <v>2020</v>
      </c>
      <c r="AF38" s="198">
        <v>877803</v>
      </c>
      <c r="AJ38" s="3">
        <f t="shared" si="9"/>
        <v>0</v>
      </c>
      <c r="AK38" s="3">
        <v>33</v>
      </c>
      <c r="AL38" s="229">
        <v>988233</v>
      </c>
      <c r="AM38" s="229">
        <f t="shared" si="3"/>
        <v>979</v>
      </c>
      <c r="AN38" s="230">
        <f t="shared" si="4"/>
        <v>9.9065706164436934E-4</v>
      </c>
      <c r="AO38" s="3">
        <v>47.5</v>
      </c>
      <c r="AP38" s="3">
        <v>29.89</v>
      </c>
      <c r="AQ38" s="3">
        <v>36.89</v>
      </c>
      <c r="AR38" s="229">
        <v>993384</v>
      </c>
      <c r="AS38" s="229">
        <f t="shared" si="5"/>
        <v>552</v>
      </c>
      <c r="AT38" s="232">
        <f t="shared" si="6"/>
        <v>5.5567635476311272E-4</v>
      </c>
      <c r="AU38" s="3">
        <v>52.4</v>
      </c>
    </row>
    <row r="39" spans="1:56" ht="14.25" customHeight="1" x14ac:dyDescent="0.3">
      <c r="B39" s="33"/>
      <c r="C39" s="305"/>
      <c r="D39" s="306"/>
      <c r="E39" s="18"/>
      <c r="F39" s="32"/>
      <c r="G39" s="28"/>
      <c r="H39" s="245"/>
      <c r="I39" s="11"/>
      <c r="J39" s="11"/>
      <c r="K39" s="9"/>
      <c r="M39" s="31"/>
      <c r="O39" s="80"/>
      <c r="P39" s="29"/>
      <c r="Q39" s="94"/>
      <c r="R39" s="103"/>
      <c r="S39" s="103"/>
      <c r="T39" s="103"/>
      <c r="U39" s="103"/>
      <c r="V39" s="103"/>
      <c r="W39" s="103"/>
      <c r="X39" s="59"/>
      <c r="AB39" s="131">
        <f>+AD40*AF40</f>
        <v>1000000</v>
      </c>
      <c r="AC39" s="131">
        <f>+AD39*AF39</f>
        <v>0</v>
      </c>
      <c r="AD39" s="131">
        <f t="shared" si="10"/>
        <v>0</v>
      </c>
      <c r="AE39" s="135">
        <v>2021</v>
      </c>
      <c r="AF39" s="198">
        <v>908526</v>
      </c>
      <c r="AJ39" s="3">
        <f t="shared" si="9"/>
        <v>0</v>
      </c>
      <c r="AK39" s="3">
        <v>34</v>
      </c>
      <c r="AL39" s="229">
        <v>987254</v>
      </c>
      <c r="AM39" s="229">
        <f t="shared" si="3"/>
        <v>1038</v>
      </c>
      <c r="AN39" s="230">
        <f t="shared" si="4"/>
        <v>1.0514011591748426E-3</v>
      </c>
      <c r="AO39" s="3">
        <v>46.5</v>
      </c>
      <c r="AP39" s="3">
        <v>29.39</v>
      </c>
      <c r="AQ39" s="3">
        <v>36.26</v>
      </c>
      <c r="AR39" s="229">
        <v>992832</v>
      </c>
      <c r="AS39" s="229">
        <f t="shared" si="5"/>
        <v>585</v>
      </c>
      <c r="AT39" s="232">
        <f t="shared" si="6"/>
        <v>5.8922355443821316E-4</v>
      </c>
      <c r="AU39" s="3">
        <v>51.5</v>
      </c>
    </row>
    <row r="40" spans="1:56" ht="14.25" customHeight="1" x14ac:dyDescent="0.35">
      <c r="B40" s="33"/>
      <c r="C40" s="32"/>
      <c r="D40" s="32"/>
      <c r="E40" s="32"/>
      <c r="F40" s="32"/>
      <c r="G40" s="28"/>
      <c r="H40" s="11"/>
      <c r="I40" s="11"/>
      <c r="J40" s="11"/>
      <c r="K40" s="9"/>
      <c r="M40" s="29"/>
      <c r="O40" s="77"/>
      <c r="P40" s="29"/>
      <c r="Q40" s="94"/>
      <c r="R40" s="103"/>
      <c r="S40" s="103"/>
      <c r="T40" s="103"/>
      <c r="U40" s="103"/>
      <c r="V40" s="103"/>
      <c r="W40" s="103"/>
      <c r="X40" s="59"/>
      <c r="AA40" s="81">
        <f>+AD41*AF41</f>
        <v>0</v>
      </c>
      <c r="AB40" s="132">
        <f>IF(SUM(AC18:AC42)&lt;=0,"",SUM(AC18:AC42))</f>
        <v>1000000</v>
      </c>
      <c r="AC40" s="131">
        <f>+AD40*AF40</f>
        <v>1000000</v>
      </c>
      <c r="AD40" s="131">
        <f>+IF($AD$16=AE40,1,0)</f>
        <v>1</v>
      </c>
      <c r="AE40" s="135">
        <v>2022</v>
      </c>
      <c r="AF40" s="198">
        <v>1000000</v>
      </c>
      <c r="AJ40" s="3">
        <f t="shared" si="9"/>
        <v>0</v>
      </c>
      <c r="AK40" s="3">
        <v>35</v>
      </c>
      <c r="AL40" s="229">
        <v>986216</v>
      </c>
      <c r="AM40" s="229">
        <f t="shared" si="3"/>
        <v>1102</v>
      </c>
      <c r="AN40" s="230">
        <f t="shared" si="4"/>
        <v>1.1174022729300681E-3</v>
      </c>
      <c r="AO40" s="3">
        <v>45.6</v>
      </c>
      <c r="AP40" s="3">
        <v>28.9</v>
      </c>
      <c r="AQ40" s="3">
        <v>35.64</v>
      </c>
      <c r="AR40" s="229">
        <v>992247</v>
      </c>
      <c r="AS40" s="229">
        <f t="shared" si="5"/>
        <v>622</v>
      </c>
      <c r="AT40" s="232">
        <f t="shared" si="6"/>
        <v>6.2686004593614294E-4</v>
      </c>
      <c r="AU40" s="3">
        <v>50.5</v>
      </c>
    </row>
    <row r="41" spans="1:56" s="90" customFormat="1" ht="14.25" customHeight="1" x14ac:dyDescent="0.3">
      <c r="A41" s="89"/>
      <c r="B41" s="33"/>
      <c r="C41" s="304"/>
      <c r="D41" s="304"/>
      <c r="E41" s="234"/>
      <c r="F41" s="234"/>
      <c r="G41" s="235"/>
      <c r="H41" s="307"/>
      <c r="I41" s="308"/>
      <c r="J41" s="236"/>
      <c r="K41" s="237"/>
      <c r="L41" s="130"/>
      <c r="M41" s="31">
        <f>+SUM(M21:M39)</f>
        <v>18968836.580516905</v>
      </c>
      <c r="N41" s="130"/>
      <c r="O41" s="31">
        <f>+SUM(O21:O39)</f>
        <v>37937673.161033809</v>
      </c>
      <c r="P41" s="29"/>
      <c r="Q41" s="87"/>
      <c r="R41" s="242">
        <v>37937673.161033802</v>
      </c>
      <c r="S41" s="98"/>
      <c r="T41" s="98"/>
      <c r="U41" s="57"/>
      <c r="V41" s="63"/>
      <c r="W41" s="104"/>
      <c r="X41" s="59"/>
      <c r="Y41" s="81"/>
      <c r="Z41" s="81"/>
      <c r="AA41" s="81"/>
      <c r="AB41" s="133">
        <f ca="1">AC3-E9</f>
        <v>908</v>
      </c>
      <c r="AC41" s="131">
        <f>+AD41*AF41</f>
        <v>0</v>
      </c>
      <c r="AD41" s="131">
        <f t="shared" si="10"/>
        <v>0</v>
      </c>
      <c r="AE41" s="135">
        <v>2023</v>
      </c>
      <c r="AF41" s="198">
        <v>1160000</v>
      </c>
      <c r="AG41" s="3"/>
      <c r="AH41" s="3"/>
      <c r="AI41" s="3"/>
      <c r="AJ41" s="3">
        <f t="shared" si="9"/>
        <v>0</v>
      </c>
      <c r="AK41" s="3">
        <v>36</v>
      </c>
      <c r="AL41" s="229">
        <v>985114</v>
      </c>
      <c r="AM41" s="229">
        <f>+AL41-AL42</f>
        <v>1172</v>
      </c>
      <c r="AN41" s="230">
        <f t="shared" si="4"/>
        <v>1.1897100234084584E-3</v>
      </c>
      <c r="AO41" s="3">
        <v>44.6</v>
      </c>
      <c r="AP41" s="3">
        <v>28.4</v>
      </c>
      <c r="AQ41" s="3">
        <v>35.01</v>
      </c>
      <c r="AR41" s="229">
        <v>991625</v>
      </c>
      <c r="AS41" s="229">
        <f>+AR41-AR42</f>
        <v>662</v>
      </c>
      <c r="AT41" s="232">
        <f t="shared" si="6"/>
        <v>6.6759107525526278E-4</v>
      </c>
      <c r="AU41" s="3">
        <v>49.5</v>
      </c>
      <c r="AV41" s="3"/>
      <c r="AW41" s="3"/>
      <c r="AX41" s="3"/>
      <c r="AY41" s="3"/>
      <c r="AZ41" s="3"/>
      <c r="BA41" s="3"/>
      <c r="BB41" s="3"/>
      <c r="BC41" s="3"/>
      <c r="BD41" s="3"/>
    </row>
    <row r="42" spans="1:56" s="90" customFormat="1" ht="14.25" customHeight="1" x14ac:dyDescent="0.3">
      <c r="A42" s="89"/>
      <c r="B42" s="33"/>
      <c r="C42" s="302"/>
      <c r="D42" s="302"/>
      <c r="E42" s="32"/>
      <c r="F42" s="34"/>
      <c r="G42" s="28"/>
      <c r="H42" s="28"/>
      <c r="I42" s="15"/>
      <c r="J42" s="9"/>
      <c r="K42" s="29"/>
      <c r="L42" s="9"/>
      <c r="M42" s="233">
        <v>0.9</v>
      </c>
      <c r="N42" s="184"/>
      <c r="O42" s="181">
        <f>+$O$41*M42</f>
        <v>34143905.844930433</v>
      </c>
      <c r="P42" s="87"/>
      <c r="Q42" s="87"/>
      <c r="R42" s="63"/>
      <c r="S42" s="98"/>
      <c r="T42" s="98"/>
      <c r="U42" s="57"/>
      <c r="V42" s="63"/>
      <c r="W42" s="104"/>
      <c r="X42" s="59"/>
      <c r="Y42" s="81"/>
      <c r="Z42" s="81"/>
      <c r="AA42" s="81"/>
      <c r="AC42" s="131">
        <f>+AD42*AF42</f>
        <v>0</v>
      </c>
      <c r="AD42" s="131">
        <f t="shared" ref="AD42" si="11">+IF($AD$16=AE42,1,0)</f>
        <v>0</v>
      </c>
      <c r="AE42" s="90">
        <v>2024</v>
      </c>
      <c r="AF42" s="3">
        <v>1300000</v>
      </c>
      <c r="AG42" s="3"/>
      <c r="AH42" s="3"/>
      <c r="AI42" s="3"/>
      <c r="AJ42" s="3">
        <f t="shared" si="9"/>
        <v>0</v>
      </c>
      <c r="AK42" s="3">
        <v>37</v>
      </c>
      <c r="AL42" s="229">
        <v>983942</v>
      </c>
      <c r="AM42" s="229">
        <f t="shared" si="3"/>
        <v>1249</v>
      </c>
      <c r="AN42" s="230">
        <f t="shared" si="4"/>
        <v>1.2693837644901834E-3</v>
      </c>
      <c r="AO42" s="3">
        <v>43.7</v>
      </c>
      <c r="AP42" s="3">
        <v>27.9</v>
      </c>
      <c r="AQ42" s="3">
        <v>34.380000000000003</v>
      </c>
      <c r="AR42" s="229">
        <v>990963</v>
      </c>
      <c r="AS42" s="229">
        <f t="shared" si="5"/>
        <v>705</v>
      </c>
      <c r="AT42" s="232">
        <f t="shared" si="6"/>
        <v>7.1142918554981365E-4</v>
      </c>
      <c r="AU42" s="3">
        <v>48.6</v>
      </c>
      <c r="AV42" s="3"/>
      <c r="AW42" s="3"/>
      <c r="AX42" s="3"/>
      <c r="AY42" s="3"/>
      <c r="AZ42" s="3"/>
      <c r="BA42" s="3"/>
      <c r="BB42" s="3"/>
      <c r="BC42" s="3"/>
      <c r="BD42" s="3"/>
    </row>
    <row r="43" spans="1:56" ht="14.25" customHeight="1" x14ac:dyDescent="0.3">
      <c r="B43" s="111"/>
      <c r="C43" s="301"/>
      <c r="D43" s="301"/>
      <c r="E43" s="112"/>
      <c r="F43" s="113"/>
      <c r="G43" s="113"/>
      <c r="H43" s="113"/>
      <c r="I43" s="112"/>
      <c r="J43" s="57"/>
      <c r="K43" s="114"/>
      <c r="L43" s="57"/>
      <c r="M43" s="233">
        <v>0.8</v>
      </c>
      <c r="N43" s="185"/>
      <c r="O43" s="181">
        <f t="shared" ref="O43:O45" si="12">+$O$41*M43</f>
        <v>30350138.528827049</v>
      </c>
      <c r="P43" s="46"/>
      <c r="Q43" s="46"/>
      <c r="R43" s="59"/>
      <c r="S43" s="59"/>
      <c r="T43" s="59"/>
      <c r="U43" s="59"/>
      <c r="V43" s="59"/>
      <c r="W43" s="59"/>
      <c r="X43" s="59"/>
      <c r="AB43" s="133">
        <f ca="1">+AB41/365.25</f>
        <v>2.4859685147159478</v>
      </c>
      <c r="AC43" s="131">
        <f ca="1">+AB38/365.25</f>
        <v>2.4859685147159478</v>
      </c>
      <c r="AJ43" s="3">
        <f t="shared" si="9"/>
        <v>0</v>
      </c>
      <c r="AK43" s="3">
        <v>38</v>
      </c>
      <c r="AL43" s="229">
        <v>982693</v>
      </c>
      <c r="AM43" s="229">
        <f t="shared" si="3"/>
        <v>1333</v>
      </c>
      <c r="AN43" s="230">
        <f t="shared" si="4"/>
        <v>1.3564765394685828E-3</v>
      </c>
      <c r="AO43" s="3">
        <v>42.7</v>
      </c>
      <c r="AP43" s="3">
        <v>27.39</v>
      </c>
      <c r="AQ43" s="3">
        <v>33.74</v>
      </c>
      <c r="AR43" s="229">
        <v>990258</v>
      </c>
      <c r="AS43" s="229">
        <f t="shared" si="5"/>
        <v>753</v>
      </c>
      <c r="AT43" s="232">
        <f t="shared" si="6"/>
        <v>7.6040789370042958E-4</v>
      </c>
      <c r="AU43" s="3">
        <v>47.6</v>
      </c>
    </row>
    <row r="44" spans="1:56" ht="14.25" customHeight="1" x14ac:dyDescent="0.3">
      <c r="B44" s="111"/>
      <c r="C44" s="59"/>
      <c r="D44" s="59"/>
      <c r="E44" s="59"/>
      <c r="F44" s="59"/>
      <c r="G44" s="59"/>
      <c r="H44" s="59"/>
      <c r="I44" s="59"/>
      <c r="J44" s="59"/>
      <c r="K44" s="59"/>
      <c r="L44" s="59"/>
      <c r="M44" s="233">
        <v>0.7</v>
      </c>
      <c r="N44" s="186"/>
      <c r="O44" s="181">
        <f t="shared" si="12"/>
        <v>26556371.212723665</v>
      </c>
      <c r="P44" s="46"/>
      <c r="Q44" s="46"/>
      <c r="R44" s="59"/>
      <c r="S44" s="59"/>
      <c r="T44" s="59"/>
      <c r="U44" s="59"/>
      <c r="V44" s="59"/>
      <c r="W44" s="59"/>
      <c r="AB44" s="131">
        <f ca="1">+INT(AB43*12)</f>
        <v>29</v>
      </c>
      <c r="AC44" s="131">
        <f ca="1">+INT(AC43*12)</f>
        <v>29</v>
      </c>
      <c r="AJ44" s="3">
        <f t="shared" si="9"/>
        <v>0</v>
      </c>
      <c r="AK44" s="3">
        <v>39</v>
      </c>
      <c r="AL44" s="229">
        <v>981360</v>
      </c>
      <c r="AM44" s="229">
        <f t="shared" si="3"/>
        <v>1424</v>
      </c>
      <c r="AN44" s="230">
        <f t="shared" si="4"/>
        <v>1.4510475258824489E-3</v>
      </c>
      <c r="AO44" s="3">
        <v>41.8</v>
      </c>
      <c r="AP44" s="3">
        <v>26.88</v>
      </c>
      <c r="AQ44" s="3">
        <v>33.11</v>
      </c>
      <c r="AR44" s="229">
        <v>989505</v>
      </c>
      <c r="AS44" s="229">
        <f t="shared" si="5"/>
        <v>806</v>
      </c>
      <c r="AT44" s="232">
        <f t="shared" si="6"/>
        <v>8.1454868848565695E-4</v>
      </c>
      <c r="AU44" s="3">
        <v>46.6</v>
      </c>
    </row>
    <row r="45" spans="1:56" ht="14.25" customHeight="1" x14ac:dyDescent="0.3">
      <c r="B45" s="111"/>
      <c r="C45" s="59"/>
      <c r="D45" s="59"/>
      <c r="E45" s="59"/>
      <c r="F45" s="59"/>
      <c r="G45" s="59"/>
      <c r="H45" s="59"/>
      <c r="I45" s="59"/>
      <c r="J45" s="59"/>
      <c r="K45" s="59"/>
      <c r="L45" s="59"/>
      <c r="M45" s="243">
        <v>0.6</v>
      </c>
      <c r="N45" s="59"/>
      <c r="O45" s="244">
        <f t="shared" si="12"/>
        <v>22762603.896620285</v>
      </c>
      <c r="P45" s="46"/>
      <c r="Q45" s="46"/>
      <c r="R45" s="59"/>
      <c r="S45" s="59"/>
      <c r="T45" s="59"/>
      <c r="U45" s="59"/>
      <c r="V45" s="59"/>
      <c r="W45" s="59"/>
      <c r="AJ45" s="3">
        <f t="shared" si="9"/>
        <v>0</v>
      </c>
      <c r="AK45" s="3">
        <v>40</v>
      </c>
      <c r="AL45" s="229">
        <v>979936</v>
      </c>
      <c r="AM45" s="229">
        <f t="shared" si="3"/>
        <v>1525</v>
      </c>
      <c r="AN45" s="230">
        <f t="shared" si="4"/>
        <v>1.5562240799399144E-3</v>
      </c>
      <c r="AO45" s="3">
        <v>40.799999999999997</v>
      </c>
      <c r="AP45" s="3">
        <v>26.37</v>
      </c>
      <c r="AQ45" s="3">
        <v>32.47</v>
      </c>
      <c r="AR45" s="229">
        <v>988699</v>
      </c>
      <c r="AS45" s="229">
        <f t="shared" si="5"/>
        <v>863</v>
      </c>
      <c r="AT45" s="232">
        <f t="shared" si="6"/>
        <v>8.7286423876225226E-4</v>
      </c>
      <c r="AU45" s="3">
        <v>45.7</v>
      </c>
    </row>
    <row r="46" spans="1:56" ht="14.25" customHeight="1" x14ac:dyDescent="0.3">
      <c r="B46" s="59"/>
      <c r="C46" s="59"/>
      <c r="D46" s="59"/>
      <c r="E46" s="59"/>
      <c r="F46" s="59"/>
      <c r="G46" s="59"/>
      <c r="H46" s="59"/>
      <c r="I46" s="59"/>
      <c r="J46" s="59"/>
      <c r="K46" s="59"/>
      <c r="L46" s="59"/>
      <c r="M46" s="233">
        <v>0.5</v>
      </c>
      <c r="N46" s="186"/>
      <c r="O46" s="181">
        <f>+$O$41*M46</f>
        <v>18968836.580516905</v>
      </c>
      <c r="P46" s="46"/>
      <c r="Q46" s="46"/>
      <c r="R46" s="59"/>
      <c r="S46" s="59"/>
      <c r="T46" s="59"/>
      <c r="U46" s="59"/>
      <c r="V46" s="59"/>
      <c r="W46" s="59"/>
      <c r="AC46" s="131" t="s">
        <v>15</v>
      </c>
      <c r="AD46" s="131" t="s">
        <v>16</v>
      </c>
      <c r="AJ46" s="3">
        <f t="shared" si="9"/>
        <v>0</v>
      </c>
      <c r="AK46" s="3">
        <v>41</v>
      </c>
      <c r="AL46" s="229">
        <v>978411</v>
      </c>
      <c r="AM46" s="229">
        <f t="shared" si="3"/>
        <v>1635</v>
      </c>
      <c r="AN46" s="230">
        <f t="shared" si="4"/>
        <v>1.6710768787350102E-3</v>
      </c>
      <c r="AO46" s="3">
        <v>39.9</v>
      </c>
      <c r="AP46" s="3">
        <v>25.86</v>
      </c>
      <c r="AQ46" s="3">
        <v>31.83</v>
      </c>
      <c r="AR46" s="229">
        <v>987836</v>
      </c>
      <c r="AS46" s="229">
        <f t="shared" si="5"/>
        <v>926</v>
      </c>
      <c r="AT46" s="232">
        <f t="shared" si="6"/>
        <v>9.3740256479820532E-4</v>
      </c>
      <c r="AU46" s="3">
        <v>44.7</v>
      </c>
    </row>
    <row r="47" spans="1:56" ht="14.25" customHeight="1" x14ac:dyDescent="0.3">
      <c r="B47" s="59"/>
      <c r="C47" s="59"/>
      <c r="D47" s="59"/>
      <c r="E47" s="59"/>
      <c r="F47" s="59"/>
      <c r="G47" s="59"/>
      <c r="H47" s="59"/>
      <c r="I47" s="59"/>
      <c r="J47" s="59"/>
      <c r="K47" s="59"/>
      <c r="L47" s="59"/>
      <c r="M47" s="233">
        <v>0.4</v>
      </c>
      <c r="N47" s="186"/>
      <c r="O47" s="181">
        <f>+$O$41*M47</f>
        <v>15175069.264413524</v>
      </c>
      <c r="P47" s="46"/>
      <c r="Q47" s="46"/>
      <c r="R47" s="59"/>
      <c r="S47" s="59"/>
      <c r="T47" s="59"/>
      <c r="U47" s="59"/>
      <c r="V47" s="59"/>
      <c r="W47" s="59"/>
      <c r="AC47" s="131">
        <f ca="1">+IF(AC44&lt;AH4,AC44,AH4)</f>
        <v>29</v>
      </c>
      <c r="AD47" s="131">
        <f ca="1">AH4-AC44</f>
        <v>776</v>
      </c>
      <c r="AJ47" s="3">
        <f t="shared" si="9"/>
        <v>0</v>
      </c>
      <c r="AK47" s="3">
        <v>42</v>
      </c>
      <c r="AL47" s="229">
        <v>976776</v>
      </c>
      <c r="AM47" s="229">
        <f t="shared" si="3"/>
        <v>1755</v>
      </c>
      <c r="AN47" s="230">
        <f t="shared" si="4"/>
        <v>1.7967271923143074E-3</v>
      </c>
      <c r="AO47" s="3">
        <v>39</v>
      </c>
      <c r="AP47" s="3">
        <v>25.35</v>
      </c>
      <c r="AQ47" s="3">
        <v>31.19</v>
      </c>
      <c r="AR47" s="229">
        <v>986910</v>
      </c>
      <c r="AS47" s="229">
        <f t="shared" si="5"/>
        <v>994</v>
      </c>
      <c r="AT47" s="232">
        <f t="shared" si="6"/>
        <v>1.0071840390714452E-3</v>
      </c>
      <c r="AU47" s="3">
        <v>43.7</v>
      </c>
    </row>
    <row r="48" spans="1:56" ht="14.25" customHeight="1" x14ac:dyDescent="0.3">
      <c r="B48" s="59"/>
      <c r="C48" s="59"/>
      <c r="D48" s="59"/>
      <c r="E48" s="59">
        <f>O15</f>
        <v>0</v>
      </c>
      <c r="F48" s="59"/>
      <c r="G48" s="59"/>
      <c r="H48" s="59"/>
      <c r="I48" s="59"/>
      <c r="J48" s="59"/>
      <c r="K48" s="59"/>
      <c r="L48" s="59"/>
      <c r="M48" s="186"/>
      <c r="N48" s="186"/>
      <c r="O48" s="187"/>
      <c r="P48" s="126"/>
      <c r="Q48" s="46"/>
      <c r="R48" s="105"/>
      <c r="S48" s="105"/>
      <c r="T48" s="106"/>
      <c r="U48" s="59"/>
      <c r="V48" s="105"/>
      <c r="W48" s="106"/>
      <c r="AJ48" s="3">
        <f t="shared" si="9"/>
        <v>0</v>
      </c>
      <c r="AK48" s="3">
        <v>43</v>
      </c>
      <c r="AL48" s="229">
        <v>975021</v>
      </c>
      <c r="AM48" s="229">
        <f t="shared" si="3"/>
        <v>1886</v>
      </c>
      <c r="AN48" s="230">
        <f t="shared" si="4"/>
        <v>1.9343173121399437E-3</v>
      </c>
      <c r="AO48" s="3">
        <v>38</v>
      </c>
      <c r="AP48" s="3">
        <v>24.83</v>
      </c>
      <c r="AQ48" s="3">
        <v>30.54</v>
      </c>
      <c r="AR48" s="229">
        <v>985916</v>
      </c>
      <c r="AS48" s="229">
        <f t="shared" si="5"/>
        <v>1070</v>
      </c>
      <c r="AT48" s="232">
        <f t="shared" si="6"/>
        <v>1.0852851561390625E-3</v>
      </c>
      <c r="AU48" s="3">
        <v>42.8</v>
      </c>
    </row>
    <row r="49" spans="2:47" ht="14.25" customHeight="1" x14ac:dyDescent="0.35">
      <c r="B49" s="59"/>
      <c r="C49" s="300"/>
      <c r="D49" s="300"/>
      <c r="E49" s="116">
        <f>H41-E48</f>
        <v>0</v>
      </c>
      <c r="F49" s="117"/>
      <c r="G49" s="117"/>
      <c r="H49" s="117"/>
      <c r="I49" s="116"/>
      <c r="J49" s="59"/>
      <c r="K49" s="115"/>
      <c r="L49" s="241"/>
      <c r="M49" s="239" t="s">
        <v>464</v>
      </c>
      <c r="N49" s="240"/>
      <c r="O49" s="239">
        <v>30000000</v>
      </c>
      <c r="P49" s="126"/>
      <c r="Q49" s="46"/>
      <c r="R49" s="105"/>
      <c r="S49" s="105"/>
      <c r="T49" s="106"/>
      <c r="U49" s="59"/>
      <c r="V49" s="105"/>
      <c r="W49" s="106"/>
      <c r="AD49" s="131">
        <f>18-AC6</f>
        <v>-0.33264887063655024</v>
      </c>
      <c r="AJ49" s="3">
        <f t="shared" si="9"/>
        <v>0</v>
      </c>
      <c r="AK49" s="3">
        <v>44</v>
      </c>
      <c r="AL49" s="229">
        <v>973135</v>
      </c>
      <c r="AM49" s="229">
        <f t="shared" si="3"/>
        <v>2030</v>
      </c>
      <c r="AN49" s="230">
        <f t="shared" si="4"/>
        <v>2.0860415050327034E-3</v>
      </c>
      <c r="AO49" s="3">
        <v>37.1</v>
      </c>
      <c r="AP49" s="3">
        <v>24.31</v>
      </c>
      <c r="AQ49" s="3">
        <v>29.9</v>
      </c>
      <c r="AR49" s="229">
        <v>984846</v>
      </c>
      <c r="AS49" s="229">
        <f t="shared" si="5"/>
        <v>1152</v>
      </c>
      <c r="AT49" s="232">
        <f t="shared" si="6"/>
        <v>1.1697260282318251E-3</v>
      </c>
      <c r="AU49" s="3">
        <v>41.8</v>
      </c>
    </row>
    <row r="50" spans="2:47" ht="14.25" customHeight="1" x14ac:dyDescent="0.3">
      <c r="B50" s="59"/>
      <c r="C50" s="300"/>
      <c r="D50" s="300"/>
      <c r="E50" s="116">
        <f>M41</f>
        <v>18968836.580516905</v>
      </c>
      <c r="F50" s="117"/>
      <c r="G50" s="117"/>
      <c r="H50" s="117"/>
      <c r="I50" s="116"/>
      <c r="J50" s="59"/>
      <c r="K50" s="115"/>
      <c r="L50" s="59"/>
      <c r="M50" s="187"/>
      <c r="N50" s="186"/>
      <c r="O50" s="187"/>
      <c r="P50" s="126"/>
      <c r="Q50" s="46"/>
      <c r="R50" s="105"/>
      <c r="S50" s="105"/>
      <c r="T50" s="106"/>
      <c r="U50" s="59"/>
      <c r="V50" s="105"/>
      <c r="W50" s="106"/>
      <c r="AD50" s="131">
        <f>+AH3-AD49</f>
        <v>67.432648870636541</v>
      </c>
      <c r="AJ50" s="3">
        <f t="shared" si="9"/>
        <v>0</v>
      </c>
      <c r="AK50" s="3">
        <v>45</v>
      </c>
      <c r="AL50" s="229">
        <v>971105</v>
      </c>
      <c r="AM50" s="229">
        <f t="shared" si="3"/>
        <v>2186</v>
      </c>
      <c r="AN50" s="230">
        <f t="shared" si="4"/>
        <v>2.2510439138919065E-3</v>
      </c>
      <c r="AO50" s="3">
        <v>36.200000000000003</v>
      </c>
      <c r="AP50" s="3">
        <v>23.79</v>
      </c>
      <c r="AQ50" s="3">
        <v>29.25</v>
      </c>
      <c r="AR50" s="229">
        <v>983694</v>
      </c>
      <c r="AS50" s="229">
        <f t="shared" si="5"/>
        <v>1242</v>
      </c>
      <c r="AT50" s="232">
        <f t="shared" si="6"/>
        <v>1.2625877559484962E-3</v>
      </c>
      <c r="AU50" s="3">
        <v>40.9</v>
      </c>
    </row>
    <row r="51" spans="2:47" ht="14.25" customHeight="1" x14ac:dyDescent="0.3">
      <c r="B51" s="59"/>
      <c r="C51" s="59"/>
      <c r="D51" s="59"/>
      <c r="E51" s="59">
        <f>O41</f>
        <v>37937673.161033809</v>
      </c>
      <c r="F51" s="59"/>
      <c r="G51" s="59"/>
      <c r="H51" s="59"/>
      <c r="I51" s="59"/>
      <c r="J51" s="59"/>
      <c r="K51" s="115"/>
      <c r="L51" s="59"/>
      <c r="M51" s="187"/>
      <c r="N51" s="186"/>
      <c r="O51" s="187"/>
      <c r="P51" s="126"/>
      <c r="Q51" s="46"/>
      <c r="R51" s="105"/>
      <c r="S51" s="105"/>
      <c r="T51" s="106"/>
      <c r="U51" s="59"/>
      <c r="V51" s="105"/>
      <c r="W51" s="106"/>
      <c r="AC51" s="131">
        <v>0</v>
      </c>
      <c r="AD51" s="131">
        <f>+INT(AD50*12)</f>
        <v>809</v>
      </c>
      <c r="AJ51" s="3">
        <f t="shared" si="9"/>
        <v>0</v>
      </c>
      <c r="AK51" s="3">
        <v>46</v>
      </c>
      <c r="AL51" s="229">
        <v>968919</v>
      </c>
      <c r="AM51" s="229">
        <f t="shared" si="3"/>
        <v>2358</v>
      </c>
      <c r="AN51" s="230">
        <f t="shared" si="4"/>
        <v>2.433639963712137E-3</v>
      </c>
      <c r="AO51" s="3">
        <v>35.299999999999997</v>
      </c>
      <c r="AP51" s="3">
        <v>23.27</v>
      </c>
      <c r="AQ51" s="3">
        <v>28.6</v>
      </c>
      <c r="AR51" s="229">
        <v>982452</v>
      </c>
      <c r="AS51" s="229">
        <f t="shared" si="5"/>
        <v>1341</v>
      </c>
      <c r="AT51" s="232">
        <f t="shared" si="6"/>
        <v>1.364952180869905E-3</v>
      </c>
      <c r="AU51" s="3">
        <v>39.9</v>
      </c>
    </row>
    <row r="52" spans="2:47" ht="14.25" customHeight="1" x14ac:dyDescent="0.3">
      <c r="B52" s="59"/>
      <c r="C52" s="108"/>
      <c r="D52" s="108"/>
      <c r="E52" s="108" t="e">
        <f>IF(#REF!&lt;#REF!,#REF!,#REF!)</f>
        <v>#REF!</v>
      </c>
      <c r="F52" s="59"/>
      <c r="G52" s="59"/>
      <c r="H52" s="118"/>
      <c r="I52" s="118"/>
      <c r="J52" s="59"/>
      <c r="K52" s="115"/>
      <c r="L52" s="59"/>
      <c r="M52" s="187"/>
      <c r="N52" s="186"/>
      <c r="O52" s="186"/>
      <c r="P52" s="126"/>
      <c r="Q52" s="46"/>
      <c r="R52" s="105"/>
      <c r="S52" s="105"/>
      <c r="T52" s="106"/>
      <c r="U52" s="59"/>
      <c r="V52" s="105"/>
      <c r="W52" s="106"/>
      <c r="AJ52" s="3">
        <f t="shared" si="9"/>
        <v>0</v>
      </c>
      <c r="AK52" s="3">
        <v>47</v>
      </c>
      <c r="AL52" s="229">
        <v>966561</v>
      </c>
      <c r="AM52" s="229">
        <f t="shared" si="3"/>
        <v>2544</v>
      </c>
      <c r="AN52" s="230">
        <f t="shared" si="4"/>
        <v>2.6320118440532982E-3</v>
      </c>
      <c r="AO52" s="3">
        <v>34.4</v>
      </c>
      <c r="AP52" s="3">
        <v>22.75</v>
      </c>
      <c r="AQ52" s="3">
        <v>27.95</v>
      </c>
      <c r="AR52" s="229">
        <v>981111</v>
      </c>
      <c r="AS52" s="229">
        <f t="shared" si="5"/>
        <v>1448</v>
      </c>
      <c r="AT52" s="232">
        <f t="shared" si="6"/>
        <v>1.4758778568378095E-3</v>
      </c>
      <c r="AU52" s="3">
        <v>39</v>
      </c>
    </row>
    <row r="53" spans="2:47" ht="14.25" customHeight="1" x14ac:dyDescent="0.3">
      <c r="B53" s="59"/>
      <c r="C53" s="108"/>
      <c r="D53" s="108"/>
      <c r="E53" s="108" t="e">
        <f>E51-E52</f>
        <v>#REF!</v>
      </c>
      <c r="F53" s="59"/>
      <c r="G53" s="59"/>
      <c r="H53" s="59"/>
      <c r="I53" s="59"/>
      <c r="J53" s="59"/>
      <c r="K53" s="59"/>
      <c r="L53" s="59"/>
      <c r="M53" s="186"/>
      <c r="N53" s="186"/>
      <c r="O53" s="188"/>
      <c r="P53" s="126"/>
      <c r="Q53" s="46"/>
      <c r="R53" s="105"/>
      <c r="S53" s="105"/>
      <c r="T53" s="106"/>
      <c r="U53" s="59"/>
      <c r="V53" s="105"/>
      <c r="W53" s="106"/>
      <c r="AA53" s="107"/>
      <c r="AB53" s="134"/>
      <c r="AC53" s="134"/>
      <c r="AD53" s="134"/>
      <c r="AE53" s="134"/>
      <c r="AF53" s="231"/>
      <c r="AJ53" s="3">
        <f t="shared" si="9"/>
        <v>0</v>
      </c>
      <c r="AK53" s="3">
        <v>48</v>
      </c>
      <c r="AL53" s="229">
        <v>964017</v>
      </c>
      <c r="AM53" s="229">
        <f t="shared" si="3"/>
        <v>2748</v>
      </c>
      <c r="AN53" s="230">
        <f t="shared" si="4"/>
        <v>2.8505721372133479E-3</v>
      </c>
      <c r="AO53" s="3">
        <v>33.4</v>
      </c>
      <c r="AP53" s="3">
        <v>22.23</v>
      </c>
      <c r="AQ53" s="3">
        <v>27.3</v>
      </c>
      <c r="AR53" s="229">
        <v>979663</v>
      </c>
      <c r="AS53" s="229">
        <f t="shared" si="5"/>
        <v>1566</v>
      </c>
      <c r="AT53" s="232">
        <f t="shared" si="6"/>
        <v>1.5985088749906856E-3</v>
      </c>
      <c r="AU53" s="3">
        <v>38</v>
      </c>
    </row>
    <row r="54" spans="2:47" ht="14.25" customHeight="1" x14ac:dyDescent="0.3">
      <c r="B54" s="59"/>
      <c r="C54" s="108"/>
      <c r="D54" s="108"/>
      <c r="E54" s="119">
        <f>W44</f>
        <v>0</v>
      </c>
      <c r="F54" s="59"/>
      <c r="G54" s="108"/>
      <c r="H54" s="108"/>
      <c r="I54" s="108"/>
      <c r="J54" s="108"/>
      <c r="K54" s="108"/>
      <c r="L54" s="59"/>
      <c r="M54" s="188"/>
      <c r="N54" s="188"/>
      <c r="O54" s="188"/>
      <c r="P54" s="126"/>
      <c r="Q54" s="46"/>
      <c r="R54" s="105"/>
      <c r="S54" s="105"/>
      <c r="T54" s="106"/>
      <c r="U54" s="59"/>
      <c r="V54" s="105"/>
      <c r="W54" s="106"/>
      <c r="AA54" s="107"/>
      <c r="AB54" s="134"/>
      <c r="AC54" s="134"/>
      <c r="AD54" s="134"/>
      <c r="AE54" s="134"/>
      <c r="AF54" s="231"/>
      <c r="AJ54" s="3">
        <f t="shared" si="9"/>
        <v>0</v>
      </c>
      <c r="AK54" s="3">
        <v>49</v>
      </c>
      <c r="AL54" s="229">
        <v>961269</v>
      </c>
      <c r="AM54" s="229">
        <f t="shared" si="3"/>
        <v>2971</v>
      </c>
      <c r="AN54" s="230">
        <f t="shared" si="4"/>
        <v>3.0907061394885305E-3</v>
      </c>
      <c r="AO54" s="3">
        <v>32.5</v>
      </c>
      <c r="AP54" s="3">
        <v>21.7</v>
      </c>
      <c r="AQ54" s="3">
        <v>26.65</v>
      </c>
      <c r="AR54" s="229">
        <v>978097</v>
      </c>
      <c r="AS54" s="229">
        <f t="shared" si="5"/>
        <v>1695</v>
      </c>
      <c r="AT54" s="232">
        <f t="shared" si="6"/>
        <v>1.7329569562119095E-3</v>
      </c>
      <c r="AU54" s="3">
        <v>37.1</v>
      </c>
    </row>
    <row r="55" spans="2:47" ht="14.25" customHeight="1" x14ac:dyDescent="0.3">
      <c r="B55" s="59"/>
      <c r="C55" s="108"/>
      <c r="D55" s="108"/>
      <c r="E55" s="108"/>
      <c r="F55" s="59"/>
      <c r="G55" s="108"/>
      <c r="H55" s="108"/>
      <c r="I55" s="108"/>
      <c r="J55" s="108"/>
      <c r="K55" s="108"/>
      <c r="L55" s="59"/>
      <c r="M55" s="188"/>
      <c r="N55" s="188"/>
      <c r="O55" s="188"/>
      <c r="P55" s="126"/>
      <c r="Q55" s="46"/>
      <c r="R55" s="105"/>
      <c r="S55" s="105"/>
      <c r="T55" s="106"/>
      <c r="U55" s="59"/>
      <c r="V55" s="105"/>
      <c r="W55" s="106"/>
      <c r="Z55" s="107"/>
      <c r="AA55" s="107"/>
      <c r="AB55" s="134"/>
      <c r="AC55" s="134"/>
      <c r="AD55" s="134"/>
      <c r="AE55" s="134"/>
      <c r="AF55" s="231"/>
      <c r="AJ55" s="3">
        <f t="shared" si="9"/>
        <v>0</v>
      </c>
      <c r="AK55" s="3">
        <v>50</v>
      </c>
      <c r="AL55" s="229">
        <v>958298</v>
      </c>
      <c r="AM55" s="229">
        <f t="shared" si="3"/>
        <v>3213</v>
      </c>
      <c r="AN55" s="230">
        <f t="shared" si="4"/>
        <v>3.3528192691626196E-3</v>
      </c>
      <c r="AO55" s="3">
        <v>31.6</v>
      </c>
      <c r="AP55" s="3">
        <v>21.18</v>
      </c>
      <c r="AQ55" s="3">
        <v>26</v>
      </c>
      <c r="AR55" s="229">
        <v>976402</v>
      </c>
      <c r="AS55" s="229">
        <f t="shared" si="5"/>
        <v>1836</v>
      </c>
      <c r="AT55" s="232">
        <f t="shared" si="6"/>
        <v>1.8803730430703746E-3</v>
      </c>
      <c r="AU55" s="3">
        <v>36.200000000000003</v>
      </c>
    </row>
    <row r="56" spans="2:47" ht="14.25" customHeight="1" x14ac:dyDescent="0.3">
      <c r="B56" s="59"/>
      <c r="C56" s="108"/>
      <c r="D56" s="108"/>
      <c r="E56" s="108"/>
      <c r="F56" s="59"/>
      <c r="G56" s="108"/>
      <c r="H56" s="108"/>
      <c r="I56" s="108"/>
      <c r="J56" s="108"/>
      <c r="K56" s="108"/>
      <c r="L56" s="59"/>
      <c r="M56" s="188"/>
      <c r="N56" s="188"/>
      <c r="O56" s="189" t="str">
        <f>+IF(ISERR(#REF!*100/#REF!)=TRUE,"",IF(#REF!*100/#REF!&lt;0,"",#REF!*100/#REF!))</f>
        <v/>
      </c>
      <c r="P56" s="46"/>
      <c r="Q56" s="46"/>
      <c r="R56" s="59"/>
      <c r="S56" s="59"/>
      <c r="T56" s="59"/>
      <c r="U56" s="59"/>
      <c r="V56" s="59"/>
      <c r="W56" s="59"/>
      <c r="Z56" s="107"/>
      <c r="AA56" s="107"/>
      <c r="AB56" s="134"/>
      <c r="AC56" s="134"/>
      <c r="AD56" s="134"/>
      <c r="AE56" s="134"/>
      <c r="AF56" s="231"/>
      <c r="AJ56" s="3">
        <f t="shared" si="9"/>
        <v>0</v>
      </c>
      <c r="AK56" s="3">
        <v>51</v>
      </c>
      <c r="AL56" s="229">
        <v>955085</v>
      </c>
      <c r="AM56" s="229">
        <f t="shared" si="3"/>
        <v>3477</v>
      </c>
      <c r="AN56" s="230">
        <f t="shared" si="4"/>
        <v>3.640513671558029E-3</v>
      </c>
      <c r="AO56" s="3">
        <v>30.7</v>
      </c>
      <c r="AP56" s="3">
        <v>20.65</v>
      </c>
      <c r="AQ56" s="3">
        <v>25.35</v>
      </c>
      <c r="AR56" s="229">
        <v>974566</v>
      </c>
      <c r="AS56" s="229">
        <f t="shared" si="5"/>
        <v>1990</v>
      </c>
      <c r="AT56" s="232">
        <f t="shared" si="6"/>
        <v>2.0419345636929669E-3</v>
      </c>
      <c r="AU56" s="3">
        <v>35.200000000000003</v>
      </c>
    </row>
    <row r="57" spans="2:47" ht="14.25" customHeight="1" x14ac:dyDescent="0.3">
      <c r="B57" s="59"/>
      <c r="C57" s="108"/>
      <c r="D57" s="108"/>
      <c r="E57" s="108"/>
      <c r="F57" s="59"/>
      <c r="G57" s="108"/>
      <c r="H57" s="108"/>
      <c r="I57" s="108"/>
      <c r="J57" s="108"/>
      <c r="K57" s="108"/>
      <c r="L57" s="59"/>
      <c r="M57" s="188"/>
      <c r="N57" s="188"/>
      <c r="O57" s="189" t="str">
        <f>+IF(ISERR(S44*100/#REF!)=TRUE,"",IF(S44*100/#REF!&lt;=0,"",S44*100/#REF!))</f>
        <v/>
      </c>
      <c r="P57" s="127"/>
      <c r="Q57" s="127"/>
      <c r="R57" s="108"/>
      <c r="S57" s="108"/>
      <c r="T57" s="108"/>
      <c r="U57" s="108"/>
      <c r="V57" s="108"/>
      <c r="W57" s="108"/>
      <c r="Z57" s="107"/>
      <c r="AJ57" s="3">
        <f t="shared" si="9"/>
        <v>0</v>
      </c>
      <c r="AK57" s="3">
        <v>52</v>
      </c>
      <c r="AL57" s="229">
        <v>951608</v>
      </c>
      <c r="AM57" s="229">
        <f t="shared" si="3"/>
        <v>3765</v>
      </c>
      <c r="AN57" s="230">
        <f t="shared" si="4"/>
        <v>3.9564610637993795E-3</v>
      </c>
      <c r="AO57" s="3">
        <v>29.9</v>
      </c>
      <c r="AP57" s="3">
        <v>20.13</v>
      </c>
      <c r="AQ57" s="3">
        <v>24.7</v>
      </c>
      <c r="AR57" s="229">
        <v>972576</v>
      </c>
      <c r="AS57" s="229">
        <f t="shared" si="5"/>
        <v>2158</v>
      </c>
      <c r="AT57" s="232">
        <f t="shared" si="6"/>
        <v>2.2188497351363799E-3</v>
      </c>
      <c r="AU57" s="3">
        <v>34.299999999999997</v>
      </c>
    </row>
    <row r="58" spans="2:47" ht="14.25" customHeight="1" x14ac:dyDescent="0.3">
      <c r="B58" s="59"/>
      <c r="C58" s="108"/>
      <c r="D58" s="108"/>
      <c r="E58" s="108"/>
      <c r="F58" s="59"/>
      <c r="G58" s="108"/>
      <c r="H58" s="108"/>
      <c r="I58" s="108"/>
      <c r="J58" s="108"/>
      <c r="K58" s="108"/>
      <c r="L58" s="108"/>
      <c r="M58" s="188"/>
      <c r="N58" s="188"/>
      <c r="O58" s="189" t="str">
        <f>+IF(ISERR(S32*100/#REF!)=TRUE,"",IF(S32*100/#REF!&lt;=0,"",S32*100/#REF!))</f>
        <v/>
      </c>
      <c r="P58" s="127"/>
      <c r="Q58" s="127"/>
      <c r="R58" s="108"/>
      <c r="S58" s="108"/>
      <c r="T58" s="108"/>
      <c r="U58" s="108"/>
      <c r="V58" s="108"/>
      <c r="W58" s="108"/>
      <c r="AJ58" s="3">
        <f t="shared" si="9"/>
        <v>0</v>
      </c>
      <c r="AK58" s="3">
        <v>53</v>
      </c>
      <c r="AL58" s="229">
        <v>947843</v>
      </c>
      <c r="AM58" s="229">
        <f t="shared" si="3"/>
        <v>4077</v>
      </c>
      <c r="AN58" s="230">
        <f t="shared" si="4"/>
        <v>4.3013452649858681E-3</v>
      </c>
      <c r="AO58" s="3">
        <v>29</v>
      </c>
      <c r="AP58" s="3">
        <v>19.61</v>
      </c>
      <c r="AQ58" s="3">
        <v>24.05</v>
      </c>
      <c r="AR58" s="229">
        <v>970418</v>
      </c>
      <c r="AS58" s="229">
        <f t="shared" si="5"/>
        <v>2341</v>
      </c>
      <c r="AT58" s="232">
        <f t="shared" si="6"/>
        <v>2.4123625077028662E-3</v>
      </c>
      <c r="AU58" s="3">
        <v>33.4</v>
      </c>
    </row>
    <row r="59" spans="2:47" ht="14.25" customHeight="1" x14ac:dyDescent="0.3">
      <c r="B59" s="59"/>
      <c r="C59" s="59"/>
      <c r="D59" s="59"/>
      <c r="E59" s="59"/>
      <c r="F59" s="59"/>
      <c r="G59" s="59"/>
      <c r="H59" s="59"/>
      <c r="I59" s="59"/>
      <c r="J59" s="59"/>
      <c r="K59" s="59"/>
      <c r="L59" s="108"/>
      <c r="M59" s="186"/>
      <c r="N59" s="186"/>
      <c r="O59" s="189" t="str">
        <f>+IF(ISERR(#REF!*100/#REF!)=TRUE,"",IF(#REF!*100/#REF!&lt;=0,"",#REF!*100/#REF!))</f>
        <v/>
      </c>
      <c r="P59" s="127"/>
      <c r="Q59" s="127"/>
      <c r="R59" s="108"/>
      <c r="S59" s="108"/>
      <c r="T59" s="108"/>
      <c r="U59" s="108"/>
      <c r="V59" s="108"/>
      <c r="W59" s="108"/>
      <c r="AJ59" s="3">
        <f t="shared" si="9"/>
        <v>0</v>
      </c>
      <c r="AK59" s="3">
        <v>54</v>
      </c>
      <c r="AL59" s="229">
        <v>943766</v>
      </c>
      <c r="AM59" s="229">
        <f t="shared" si="3"/>
        <v>4418</v>
      </c>
      <c r="AN59" s="230">
        <f t="shared" si="4"/>
        <v>4.6812451391552564E-3</v>
      </c>
      <c r="AO59" s="3">
        <v>28.1</v>
      </c>
      <c r="AP59" s="3">
        <v>19.079999999999998</v>
      </c>
      <c r="AQ59" s="3">
        <v>23.4</v>
      </c>
      <c r="AR59" s="229">
        <v>968077</v>
      </c>
      <c r="AS59" s="229">
        <f t="shared" si="5"/>
        <v>2541</v>
      </c>
      <c r="AT59" s="232">
        <f t="shared" si="6"/>
        <v>2.6247912097901302E-3</v>
      </c>
      <c r="AU59" s="3">
        <v>32.5</v>
      </c>
    </row>
    <row r="60" spans="2:47" ht="14.25" customHeight="1" x14ac:dyDescent="0.3">
      <c r="B60" s="59"/>
      <c r="C60" s="59"/>
      <c r="D60" s="59"/>
      <c r="E60" s="59"/>
      <c r="F60" s="59"/>
      <c r="G60" s="59"/>
      <c r="H60" s="59"/>
      <c r="I60" s="59"/>
      <c r="J60" s="59"/>
      <c r="K60" s="59"/>
      <c r="L60" s="108"/>
      <c r="M60" s="186"/>
      <c r="N60" s="186"/>
      <c r="O60" s="189" t="str">
        <f>+IF(ISERR(S41*100/#REF!)=TRUE,"",IF(S41*100/#REF!&lt;=0,"",S41*100/#REF!))</f>
        <v/>
      </c>
      <c r="P60" s="127"/>
      <c r="Q60" s="127"/>
      <c r="R60" s="108"/>
      <c r="S60" s="108"/>
      <c r="T60" s="108"/>
      <c r="U60" s="108"/>
      <c r="V60" s="108"/>
      <c r="W60" s="108"/>
      <c r="AJ60" s="3">
        <f t="shared" si="9"/>
        <v>0</v>
      </c>
      <c r="AK60" s="3">
        <v>55</v>
      </c>
      <c r="AL60" s="229">
        <v>939348</v>
      </c>
      <c r="AM60" s="229">
        <f t="shared" si="3"/>
        <v>4744</v>
      </c>
      <c r="AN60" s="230">
        <f t="shared" si="4"/>
        <v>5.0503114926523504E-3</v>
      </c>
      <c r="AO60" s="3">
        <v>27.2</v>
      </c>
      <c r="AP60" s="3">
        <v>18.559999999999999</v>
      </c>
      <c r="AQ60" s="3">
        <v>22.75</v>
      </c>
      <c r="AR60" s="229">
        <v>965536</v>
      </c>
      <c r="AS60" s="229">
        <f t="shared" si="5"/>
        <v>2735</v>
      </c>
      <c r="AT60" s="232">
        <f t="shared" si="6"/>
        <v>2.8326235375998408E-3</v>
      </c>
      <c r="AU60" s="3">
        <v>31.6</v>
      </c>
    </row>
    <row r="61" spans="2:47" ht="14.25" customHeight="1" x14ac:dyDescent="0.3">
      <c r="B61" s="59"/>
      <c r="C61" s="59"/>
      <c r="D61" s="59"/>
      <c r="E61" s="59"/>
      <c r="F61" s="59"/>
      <c r="G61" s="59"/>
      <c r="H61" s="59"/>
      <c r="I61" s="59"/>
      <c r="J61" s="59"/>
      <c r="K61" s="59"/>
      <c r="L61" s="108"/>
      <c r="M61" s="186"/>
      <c r="N61" s="186"/>
      <c r="O61" s="189" t="str">
        <f>+IF(ISERR(S42*100/#REF!)=TRUE,"",IF(S42*100/#REF!&lt;=0,"",S42*100/#REF!))</f>
        <v/>
      </c>
      <c r="P61" s="127"/>
      <c r="Q61" s="127"/>
      <c r="R61" s="108"/>
      <c r="S61" s="108"/>
      <c r="T61" s="108"/>
      <c r="U61" s="108"/>
      <c r="V61" s="108"/>
      <c r="W61" s="108"/>
      <c r="AJ61" s="3">
        <f t="shared" si="9"/>
        <v>0</v>
      </c>
      <c r="AK61" s="3">
        <v>56</v>
      </c>
      <c r="AL61" s="229">
        <v>934604</v>
      </c>
      <c r="AM61" s="229">
        <f t="shared" si="3"/>
        <v>5106</v>
      </c>
      <c r="AN61" s="230">
        <f t="shared" si="4"/>
        <v>5.4632764250955486E-3</v>
      </c>
      <c r="AO61" s="3">
        <v>26.4</v>
      </c>
      <c r="AP61" s="3">
        <v>18.04</v>
      </c>
      <c r="AQ61" s="3">
        <v>22.1</v>
      </c>
      <c r="AR61" s="229">
        <v>962801</v>
      </c>
      <c r="AS61" s="229">
        <f t="shared" si="5"/>
        <v>2950</v>
      </c>
      <c r="AT61" s="232">
        <f t="shared" si="6"/>
        <v>3.0639768758029956E-3</v>
      </c>
      <c r="AU61" s="3">
        <v>30.6</v>
      </c>
    </row>
    <row r="62" spans="2:47" ht="14.25" customHeight="1" x14ac:dyDescent="0.3">
      <c r="B62" s="59"/>
      <c r="C62" s="59"/>
      <c r="D62" s="59"/>
      <c r="E62" s="59"/>
      <c r="F62" s="59"/>
      <c r="G62" s="59"/>
      <c r="H62" s="59"/>
      <c r="I62" s="59"/>
      <c r="J62" s="59"/>
      <c r="K62" s="59"/>
      <c r="L62" s="108"/>
      <c r="M62" s="186"/>
      <c r="N62" s="186"/>
      <c r="O62" s="186"/>
      <c r="P62" s="46"/>
      <c r="Q62" s="46"/>
      <c r="R62" s="59"/>
      <c r="S62" s="59"/>
      <c r="T62" s="59"/>
      <c r="U62" s="59"/>
      <c r="V62" s="59"/>
      <c r="W62" s="59"/>
      <c r="AJ62" s="3">
        <f t="shared" si="9"/>
        <v>0</v>
      </c>
      <c r="AK62" s="3">
        <v>57</v>
      </c>
      <c r="AL62" s="229">
        <v>929498</v>
      </c>
      <c r="AM62" s="229">
        <f t="shared" si="3"/>
        <v>5507</v>
      </c>
      <c r="AN62" s="230">
        <f t="shared" si="4"/>
        <v>5.9247034420730326E-3</v>
      </c>
      <c r="AO62" s="3">
        <v>25.5</v>
      </c>
      <c r="AP62" s="3">
        <v>17.52</v>
      </c>
      <c r="AQ62" s="3">
        <v>21.45</v>
      </c>
      <c r="AR62" s="229">
        <v>959851</v>
      </c>
      <c r="AS62" s="229">
        <f t="shared" si="5"/>
        <v>3189</v>
      </c>
      <c r="AT62" s="232">
        <f t="shared" si="6"/>
        <v>3.3223906627174427E-3</v>
      </c>
      <c r="AU62" s="3">
        <v>29.7</v>
      </c>
    </row>
    <row r="63" spans="2:47" ht="14.25" customHeight="1" x14ac:dyDescent="0.3">
      <c r="B63" s="59"/>
      <c r="C63" s="59"/>
      <c r="D63" s="59"/>
      <c r="E63" s="59"/>
      <c r="F63" s="59"/>
      <c r="G63" s="59"/>
      <c r="H63" s="59"/>
      <c r="I63" s="59"/>
      <c r="J63" s="59"/>
      <c r="K63" s="59"/>
      <c r="L63" s="59"/>
      <c r="M63" s="186"/>
      <c r="N63" s="186"/>
      <c r="O63" s="186"/>
      <c r="P63" s="46"/>
      <c r="Q63" s="46"/>
      <c r="R63" s="59"/>
      <c r="S63" s="59"/>
      <c r="T63" s="59"/>
      <c r="U63" s="59"/>
      <c r="V63" s="59"/>
      <c r="W63" s="59"/>
      <c r="AJ63" s="3">
        <f t="shared" si="9"/>
        <v>0</v>
      </c>
      <c r="AK63" s="3">
        <v>58</v>
      </c>
      <c r="AL63" s="229">
        <v>923991</v>
      </c>
      <c r="AM63" s="229">
        <f t="shared" si="3"/>
        <v>5952</v>
      </c>
      <c r="AN63" s="230">
        <f t="shared" si="4"/>
        <v>6.4416211846219278E-3</v>
      </c>
      <c r="AO63" s="3">
        <v>24.6</v>
      </c>
      <c r="AP63" s="3">
        <v>17</v>
      </c>
      <c r="AQ63" s="3">
        <v>20.81</v>
      </c>
      <c r="AR63" s="229">
        <v>956662</v>
      </c>
      <c r="AS63" s="229">
        <f t="shared" si="5"/>
        <v>3456</v>
      </c>
      <c r="AT63" s="232">
        <f t="shared" si="6"/>
        <v>3.6125611762566089E-3</v>
      </c>
      <c r="AU63" s="3">
        <v>28.8</v>
      </c>
    </row>
    <row r="64" spans="2:47" ht="14.25" customHeight="1" x14ac:dyDescent="0.3">
      <c r="B64" s="59"/>
      <c r="C64" s="59"/>
      <c r="D64" s="59"/>
      <c r="E64" s="59"/>
      <c r="F64" s="59"/>
      <c r="G64" s="59" t="s">
        <v>17</v>
      </c>
      <c r="H64" s="59"/>
      <c r="I64" s="59"/>
      <c r="J64" s="59"/>
      <c r="K64" s="59"/>
      <c r="L64" s="59"/>
      <c r="M64" s="186"/>
      <c r="N64" s="186"/>
      <c r="O64" s="186"/>
      <c r="P64" s="46"/>
      <c r="Q64" s="46"/>
      <c r="R64" s="59"/>
      <c r="S64" s="59"/>
      <c r="T64" s="59"/>
      <c r="U64" s="59"/>
      <c r="V64" s="59"/>
      <c r="W64" s="59"/>
      <c r="AJ64" s="3">
        <f t="shared" si="9"/>
        <v>0</v>
      </c>
      <c r="AK64" s="3">
        <v>59</v>
      </c>
      <c r="AL64" s="229">
        <v>918039</v>
      </c>
      <c r="AM64" s="229">
        <f t="shared" si="3"/>
        <v>6444</v>
      </c>
      <c r="AN64" s="230">
        <f t="shared" si="4"/>
        <v>7.0193096371722772E-3</v>
      </c>
      <c r="AO64" s="3">
        <v>23.8</v>
      </c>
      <c r="AP64" s="3">
        <v>16.489999999999998</v>
      </c>
      <c r="AQ64" s="3">
        <v>20.16</v>
      </c>
      <c r="AR64" s="229">
        <v>953206</v>
      </c>
      <c r="AS64" s="229">
        <f t="shared" si="5"/>
        <v>3752</v>
      </c>
      <c r="AT64" s="232">
        <f t="shared" si="6"/>
        <v>3.936190078534965E-3</v>
      </c>
      <c r="AU64" s="3">
        <v>27.9</v>
      </c>
    </row>
    <row r="65" spans="2:47" ht="14.25" customHeight="1" x14ac:dyDescent="0.3">
      <c r="B65" s="59"/>
      <c r="C65" s="59"/>
      <c r="D65" s="59"/>
      <c r="E65" s="59"/>
      <c r="F65" s="59"/>
      <c r="G65" s="59"/>
      <c r="H65" s="59"/>
      <c r="I65" s="59"/>
      <c r="J65" s="59"/>
      <c r="K65" s="59"/>
      <c r="L65" s="59"/>
      <c r="M65" s="186"/>
      <c r="N65" s="186"/>
      <c r="O65" s="186"/>
      <c r="P65" s="46"/>
      <c r="Q65" s="46"/>
      <c r="R65" s="59"/>
      <c r="S65" s="59"/>
      <c r="T65" s="59"/>
      <c r="U65" s="59"/>
      <c r="V65" s="59"/>
      <c r="W65" s="59"/>
      <c r="AJ65" s="3">
        <f t="shared" si="9"/>
        <v>0</v>
      </c>
      <c r="AK65" s="3">
        <v>60</v>
      </c>
      <c r="AL65" s="229">
        <v>911595</v>
      </c>
      <c r="AM65" s="229">
        <f t="shared" si="3"/>
        <v>6988</v>
      </c>
      <c r="AN65" s="230">
        <f t="shared" si="4"/>
        <v>7.6656848710227677E-3</v>
      </c>
      <c r="AO65" s="3">
        <v>23</v>
      </c>
      <c r="AP65" s="3">
        <v>15.97</v>
      </c>
      <c r="AQ65" s="3">
        <v>19.52</v>
      </c>
      <c r="AR65" s="229">
        <v>949454</v>
      </c>
      <c r="AS65" s="229">
        <f t="shared" si="5"/>
        <v>4082</v>
      </c>
      <c r="AT65" s="232">
        <f t="shared" si="6"/>
        <v>4.2993130788853383E-3</v>
      </c>
      <c r="AU65" s="3">
        <v>27</v>
      </c>
    </row>
    <row r="66" spans="2:47" ht="14.25" customHeight="1" x14ac:dyDescent="0.3">
      <c r="B66" s="59"/>
      <c r="C66" s="59"/>
      <c r="D66" s="59"/>
      <c r="E66" s="59"/>
      <c r="F66" s="59"/>
      <c r="G66" s="59" t="s">
        <v>18</v>
      </c>
      <c r="H66" s="59"/>
      <c r="I66" s="59" t="s">
        <v>19</v>
      </c>
      <c r="J66" s="59" t="s">
        <v>20</v>
      </c>
      <c r="K66" s="59"/>
      <c r="L66" s="59"/>
      <c r="M66" s="186"/>
      <c r="N66" s="186"/>
      <c r="O66" s="186"/>
      <c r="P66" s="46"/>
      <c r="Q66" s="46"/>
      <c r="R66" s="59"/>
      <c r="S66" s="59"/>
      <c r="T66" s="59"/>
      <c r="U66" s="59"/>
      <c r="V66" s="59"/>
      <c r="W66" s="59"/>
      <c r="AJ66" s="3">
        <f t="shared" si="9"/>
        <v>0</v>
      </c>
      <c r="AK66" s="3">
        <v>61</v>
      </c>
      <c r="AL66" s="229">
        <v>904607</v>
      </c>
      <c r="AM66" s="229">
        <f t="shared" si="3"/>
        <v>7588</v>
      </c>
      <c r="AN66" s="230">
        <f t="shared" si="4"/>
        <v>8.3881729856169589E-3</v>
      </c>
      <c r="AO66" s="3">
        <v>22.1</v>
      </c>
      <c r="AP66" s="3">
        <v>15.46</v>
      </c>
      <c r="AQ66" s="3">
        <v>18.88</v>
      </c>
      <c r="AR66" s="229">
        <v>945372</v>
      </c>
      <c r="AS66" s="229">
        <f t="shared" si="5"/>
        <v>4447</v>
      </c>
      <c r="AT66" s="232">
        <f t="shared" si="6"/>
        <v>4.7039683849320691E-3</v>
      </c>
      <c r="AU66" s="3">
        <v>26.2</v>
      </c>
    </row>
    <row r="67" spans="2:47" ht="14.25" customHeight="1" x14ac:dyDescent="0.3">
      <c r="B67" s="59"/>
      <c r="C67" s="59"/>
      <c r="D67" s="59"/>
      <c r="E67" s="59"/>
      <c r="F67" s="59"/>
      <c r="G67" s="59" t="s">
        <v>21</v>
      </c>
      <c r="H67" s="59"/>
      <c r="I67" s="59" t="s">
        <v>22</v>
      </c>
      <c r="J67" s="59"/>
      <c r="K67" s="59"/>
      <c r="L67" s="59"/>
      <c r="M67" s="186"/>
      <c r="N67" s="186"/>
      <c r="O67" s="186"/>
      <c r="P67" s="46"/>
      <c r="Q67" s="46"/>
      <c r="R67" s="59"/>
      <c r="S67" s="59"/>
      <c r="T67" s="59"/>
      <c r="U67" s="59"/>
      <c r="V67" s="59"/>
      <c r="W67" s="59"/>
      <c r="AJ67" s="3">
        <f t="shared" si="9"/>
        <v>0</v>
      </c>
      <c r="AK67" s="3">
        <v>62</v>
      </c>
      <c r="AL67" s="229">
        <v>897019</v>
      </c>
      <c r="AM67" s="229">
        <f t="shared" si="3"/>
        <v>8250</v>
      </c>
      <c r="AN67" s="230">
        <f t="shared" si="4"/>
        <v>9.1971296037207679E-3</v>
      </c>
      <c r="AO67" s="3">
        <v>21.3</v>
      </c>
      <c r="AP67" s="3">
        <v>14.95</v>
      </c>
      <c r="AQ67" s="3">
        <v>18.239999999999998</v>
      </c>
      <c r="AR67" s="229">
        <v>940925</v>
      </c>
      <c r="AS67" s="229">
        <f t="shared" si="5"/>
        <v>4853</v>
      </c>
      <c r="AT67" s="232">
        <f t="shared" si="6"/>
        <v>5.1576905704492923E-3</v>
      </c>
      <c r="AU67" s="3">
        <v>25.3</v>
      </c>
    </row>
    <row r="68" spans="2:47" ht="14.25" customHeight="1" x14ac:dyDescent="0.3">
      <c r="B68" s="59"/>
      <c r="C68" s="59"/>
      <c r="D68" s="59"/>
      <c r="E68" s="59"/>
      <c r="F68" s="59" t="s">
        <v>23</v>
      </c>
      <c r="G68" s="59">
        <v>100</v>
      </c>
      <c r="H68" s="59"/>
      <c r="I68" s="59">
        <v>50</v>
      </c>
      <c r="J68" s="59">
        <v>35</v>
      </c>
      <c r="K68" s="59">
        <v>25</v>
      </c>
      <c r="L68" s="59"/>
      <c r="M68" s="186"/>
      <c r="N68" s="186"/>
      <c r="O68" s="186"/>
      <c r="P68" s="46"/>
      <c r="Q68" s="46"/>
      <c r="R68" s="59"/>
      <c r="S68" s="59"/>
      <c r="T68" s="59"/>
      <c r="U68" s="59"/>
      <c r="V68" s="59"/>
      <c r="W68" s="59"/>
      <c r="AJ68" s="3">
        <f t="shared" si="9"/>
        <v>0</v>
      </c>
      <c r="AK68" s="3">
        <v>63</v>
      </c>
      <c r="AL68" s="229">
        <v>888769</v>
      </c>
      <c r="AM68" s="229">
        <f t="shared" si="3"/>
        <v>9134</v>
      </c>
      <c r="AN68" s="230">
        <f t="shared" si="4"/>
        <v>1.0277136128735364E-2</v>
      </c>
      <c r="AO68" s="3">
        <v>20.5</v>
      </c>
      <c r="AP68" s="3">
        <v>14.44</v>
      </c>
      <c r="AQ68" s="3">
        <v>17.600000000000001</v>
      </c>
      <c r="AR68" s="229">
        <v>936072</v>
      </c>
      <c r="AS68" s="229">
        <f t="shared" si="5"/>
        <v>5303</v>
      </c>
      <c r="AT68" s="232">
        <f t="shared" si="6"/>
        <v>5.6651625088668389E-3</v>
      </c>
      <c r="AU68" s="3">
        <v>24.4</v>
      </c>
    </row>
    <row r="69" spans="2:47" ht="14.25" customHeight="1" x14ac:dyDescent="0.3">
      <c r="B69" s="59"/>
      <c r="C69" s="59"/>
      <c r="D69" s="59"/>
      <c r="E69" s="59"/>
      <c r="F69" s="59" t="s">
        <v>24</v>
      </c>
      <c r="G69" s="59">
        <v>80</v>
      </c>
      <c r="H69" s="59"/>
      <c r="I69" s="59">
        <v>40</v>
      </c>
      <c r="J69" s="59">
        <v>28</v>
      </c>
      <c r="K69" s="59">
        <v>20</v>
      </c>
      <c r="L69" s="59"/>
      <c r="M69" s="186"/>
      <c r="N69" s="186"/>
      <c r="O69" s="186"/>
      <c r="P69" s="46"/>
      <c r="Q69" s="46"/>
      <c r="R69" s="59"/>
      <c r="S69" s="59"/>
      <c r="T69" s="59"/>
      <c r="U69" s="59"/>
      <c r="V69" s="59"/>
      <c r="W69" s="59"/>
      <c r="AJ69" s="3">
        <f t="shared" ref="AJ69:AM100" si="13">IF($AC$8=AK69,IF($E$10="H",AO69,IF($E$10="M",AU69,IF($E$10="H Invalido",AP69,IF($E$10="M Invalida",AQ69,0)))),0)</f>
        <v>0</v>
      </c>
      <c r="AK69" s="3">
        <v>64</v>
      </c>
      <c r="AL69" s="229">
        <v>879635</v>
      </c>
      <c r="AM69" s="229">
        <f t="shared" si="3"/>
        <v>10078</v>
      </c>
      <c r="AN69" s="230">
        <f t="shared" si="4"/>
        <v>1.1457024788690763E-2</v>
      </c>
      <c r="AO69" s="3">
        <v>19.7</v>
      </c>
      <c r="AP69" s="3">
        <v>13.94</v>
      </c>
      <c r="AQ69" s="3">
        <v>16.97</v>
      </c>
      <c r="AR69" s="229">
        <v>930769</v>
      </c>
      <c r="AS69" s="229">
        <f t="shared" si="5"/>
        <v>5801</v>
      </c>
      <c r="AT69" s="232">
        <f t="shared" si="6"/>
        <v>6.23248088408617E-3</v>
      </c>
      <c r="AU69" s="3">
        <v>23.5</v>
      </c>
    </row>
    <row r="70" spans="2:47" ht="14.25" customHeight="1" x14ac:dyDescent="0.3">
      <c r="B70" s="59"/>
      <c r="C70" s="59"/>
      <c r="D70" s="120" t="str">
        <f>IF(J3="","",J3)</f>
        <v>YEILY ALEJANDRA ALAGUEÑO RIASCOS</v>
      </c>
      <c r="E70" s="59"/>
      <c r="F70" s="59" t="s">
        <v>25</v>
      </c>
      <c r="G70" s="59">
        <v>60</v>
      </c>
      <c r="H70" s="59"/>
      <c r="I70" s="59">
        <v>30</v>
      </c>
      <c r="J70" s="59">
        <v>21</v>
      </c>
      <c r="K70" s="59">
        <v>15</v>
      </c>
      <c r="L70" s="59"/>
      <c r="M70" s="186"/>
      <c r="N70" s="186"/>
      <c r="O70" s="186"/>
      <c r="P70" s="46"/>
      <c r="Q70" s="46"/>
      <c r="R70" s="59"/>
      <c r="S70" s="59"/>
      <c r="T70" s="59"/>
      <c r="U70" s="59"/>
      <c r="V70" s="59"/>
      <c r="W70" s="59"/>
      <c r="AJ70" s="3">
        <f t="shared" si="13"/>
        <v>0</v>
      </c>
      <c r="AK70" s="3">
        <v>65</v>
      </c>
      <c r="AL70" s="229">
        <v>869557</v>
      </c>
      <c r="AM70" s="229">
        <f t="shared" si="3"/>
        <v>11080</v>
      </c>
      <c r="AN70" s="230">
        <f t="shared" si="4"/>
        <v>1.2742120413037903E-2</v>
      </c>
      <c r="AO70" s="3">
        <v>19</v>
      </c>
      <c r="AP70" s="3">
        <v>13.43</v>
      </c>
      <c r="AQ70" s="3">
        <f>+AQ69-((AQ69-AQ74)/5)</f>
        <v>16.343999999999998</v>
      </c>
      <c r="AR70" s="229">
        <v>924968</v>
      </c>
      <c r="AS70" s="229">
        <f t="shared" si="5"/>
        <v>6351</v>
      </c>
      <c r="AT70" s="232">
        <f t="shared" si="6"/>
        <v>6.8661834787798063E-3</v>
      </c>
      <c r="AU70" s="3">
        <v>22.7</v>
      </c>
    </row>
    <row r="71" spans="2:47" ht="14.25" customHeight="1" x14ac:dyDescent="0.3">
      <c r="B71" s="59"/>
      <c r="C71" s="59"/>
      <c r="D71" s="59" t="str">
        <f>IF(D70="","",IF(K13&lt;0,"","LESIONADO"))</f>
        <v>LESIONADO</v>
      </c>
      <c r="E71" s="59"/>
      <c r="F71" s="59" t="s">
        <v>27</v>
      </c>
      <c r="G71" s="59">
        <v>40</v>
      </c>
      <c r="H71" s="59"/>
      <c r="I71" s="59">
        <v>20</v>
      </c>
      <c r="J71" s="59">
        <v>14</v>
      </c>
      <c r="K71" s="59">
        <v>10</v>
      </c>
      <c r="L71" s="59"/>
      <c r="M71" s="186"/>
      <c r="N71" s="186"/>
      <c r="O71" s="186"/>
      <c r="P71" s="46"/>
      <c r="Q71" s="46"/>
      <c r="R71" s="59"/>
      <c r="S71" s="59"/>
      <c r="T71" s="59"/>
      <c r="U71" s="59"/>
      <c r="V71" s="59"/>
      <c r="W71" s="59"/>
      <c r="AJ71" s="3">
        <f t="shared" si="13"/>
        <v>0</v>
      </c>
      <c r="AK71" s="3">
        <v>66</v>
      </c>
      <c r="AL71" s="229">
        <v>858477</v>
      </c>
      <c r="AM71" s="229">
        <f t="shared" si="3"/>
        <v>12143</v>
      </c>
      <c r="AN71" s="230">
        <f t="shared" si="4"/>
        <v>1.4144816925788345E-2</v>
      </c>
      <c r="AO71" s="3">
        <v>18.2</v>
      </c>
      <c r="AP71" s="3">
        <v>12.93</v>
      </c>
      <c r="AQ71" s="3">
        <f>+AQ69-(2*(AQ69-AQ74)/5)</f>
        <v>15.718</v>
      </c>
      <c r="AR71" s="229">
        <v>918617</v>
      </c>
      <c r="AS71" s="229">
        <f t="shared" si="5"/>
        <v>6959</v>
      </c>
      <c r="AT71" s="232">
        <f t="shared" si="6"/>
        <v>7.5755184151828237E-3</v>
      </c>
      <c r="AU71" s="3">
        <v>21.8</v>
      </c>
    </row>
    <row r="72" spans="2:47" ht="14.25" customHeight="1" x14ac:dyDescent="0.3">
      <c r="B72" s="59"/>
      <c r="C72" s="59"/>
      <c r="D72" s="59"/>
      <c r="E72" s="59"/>
      <c r="F72" s="121" t="s">
        <v>29</v>
      </c>
      <c r="G72" s="59">
        <v>20</v>
      </c>
      <c r="H72" s="59"/>
      <c r="I72" s="59">
        <v>10</v>
      </c>
      <c r="J72" s="59">
        <v>7</v>
      </c>
      <c r="K72" s="59">
        <v>5</v>
      </c>
      <c r="L72" s="59">
        <v>15</v>
      </c>
      <c r="M72" s="186"/>
      <c r="N72" s="186"/>
      <c r="O72" s="186"/>
      <c r="P72" s="46"/>
      <c r="Q72" s="46"/>
      <c r="R72" s="59"/>
      <c r="S72" s="59"/>
      <c r="T72" s="59" t="str">
        <f>IF(AB13="","El lucro cesante se calcula con las formulas expuestas según Resolucion 1555 de 2010 de la Super Intendencia Financiera de Colombia, donde I es el ingreso, p son los meses pasados y f son los meses futuros","")</f>
        <v/>
      </c>
      <c r="U72" s="59"/>
      <c r="V72" s="59"/>
      <c r="W72" s="59"/>
      <c r="AJ72" s="3">
        <f t="shared" si="13"/>
        <v>0</v>
      </c>
      <c r="AK72" s="3">
        <v>67</v>
      </c>
      <c r="AL72" s="229">
        <v>846334</v>
      </c>
      <c r="AM72" s="229">
        <f t="shared" si="3"/>
        <v>13265</v>
      </c>
      <c r="AN72" s="230">
        <f t="shared" si="4"/>
        <v>1.5673481155194048E-2</v>
      </c>
      <c r="AO72" s="3">
        <v>17.399999999999999</v>
      </c>
      <c r="AP72" s="3">
        <v>12.44</v>
      </c>
      <c r="AQ72" s="3">
        <f>+AQ69-(3*(AQ69-AQ74)/5)</f>
        <v>15.091999999999999</v>
      </c>
      <c r="AR72" s="229">
        <v>911658</v>
      </c>
      <c r="AS72" s="229">
        <f t="shared" si="5"/>
        <v>7629</v>
      </c>
      <c r="AT72" s="232">
        <f t="shared" si="6"/>
        <v>8.3682696800773983E-3</v>
      </c>
      <c r="AU72" s="3">
        <v>21</v>
      </c>
    </row>
    <row r="73" spans="2:47" ht="14.25" customHeight="1" x14ac:dyDescent="0.3">
      <c r="B73" s="59"/>
      <c r="C73" s="59"/>
      <c r="D73" s="59"/>
      <c r="E73" s="59"/>
      <c r="F73" s="121" t="s">
        <v>30</v>
      </c>
      <c r="G73" s="59">
        <v>10</v>
      </c>
      <c r="H73" s="59"/>
      <c r="I73" s="59">
        <v>5</v>
      </c>
      <c r="J73" s="59">
        <v>3.5</v>
      </c>
      <c r="K73" s="59">
        <v>2.5</v>
      </c>
      <c r="L73" s="59">
        <v>12</v>
      </c>
      <c r="M73" s="186" t="e">
        <f>IF(#REF!="","",IF(#REF!="","",(#REF!+#REF!)*#REF!/100))</f>
        <v>#REF!</v>
      </c>
      <c r="N73" s="186"/>
      <c r="O73" s="186"/>
      <c r="P73" s="46"/>
      <c r="Q73" s="46"/>
      <c r="R73" s="59"/>
      <c r="S73" s="59"/>
      <c r="T73" s="59" t="s">
        <v>26</v>
      </c>
      <c r="U73" s="59"/>
      <c r="V73" s="59"/>
      <c r="W73" s="59"/>
      <c r="AJ73" s="3">
        <f t="shared" si="13"/>
        <v>0</v>
      </c>
      <c r="AK73" s="3">
        <v>68</v>
      </c>
      <c r="AL73" s="229">
        <v>833069</v>
      </c>
      <c r="AM73" s="229">
        <f t="shared" si="3"/>
        <v>14446</v>
      </c>
      <c r="AN73" s="230">
        <f t="shared" si="4"/>
        <v>1.7340700470189145E-2</v>
      </c>
      <c r="AO73" s="3">
        <v>16.7</v>
      </c>
      <c r="AP73" s="3">
        <v>11.94</v>
      </c>
      <c r="AQ73" s="3">
        <f>+AQ69-(4*(AQ69-AQ74)/5)</f>
        <v>14.465999999999999</v>
      </c>
      <c r="AR73" s="229">
        <v>904029</v>
      </c>
      <c r="AS73" s="229">
        <f t="shared" si="5"/>
        <v>8367</v>
      </c>
      <c r="AT73" s="232">
        <f t="shared" si="6"/>
        <v>9.2552340688185891E-3</v>
      </c>
      <c r="AU73" s="3">
        <v>20.2</v>
      </c>
    </row>
    <row r="74" spans="2:47" ht="14.25" customHeight="1" x14ac:dyDescent="0.3">
      <c r="B74" s="59"/>
      <c r="C74" s="59"/>
      <c r="D74" s="59"/>
      <c r="E74" s="59"/>
      <c r="F74" s="59"/>
      <c r="G74" s="59"/>
      <c r="H74" s="59"/>
      <c r="I74" s="59"/>
      <c r="J74" s="59"/>
      <c r="K74" s="59"/>
      <c r="L74" s="59">
        <v>9</v>
      </c>
      <c r="M74" s="186" t="e">
        <f>+IF(M73="","",(#REF!+#REF!)*(100-#REF!)/100)</f>
        <v>#REF!</v>
      </c>
      <c r="N74" s="186"/>
      <c r="O74" s="186" t="s">
        <v>31</v>
      </c>
      <c r="P74" s="46"/>
      <c r="Q74" s="46"/>
      <c r="R74" s="59"/>
      <c r="S74" s="59"/>
      <c r="T74" s="59" t="s">
        <v>28</v>
      </c>
      <c r="U74" s="59"/>
      <c r="V74" s="59"/>
      <c r="W74" s="59"/>
      <c r="AJ74" s="3">
        <f t="shared" si="13"/>
        <v>0</v>
      </c>
      <c r="AK74" s="3">
        <v>69</v>
      </c>
      <c r="AL74" s="229">
        <v>818623</v>
      </c>
      <c r="AM74" s="229">
        <f t="shared" si="3"/>
        <v>15683</v>
      </c>
      <c r="AN74" s="230">
        <f t="shared" si="4"/>
        <v>1.9157780809969913E-2</v>
      </c>
      <c r="AO74" s="3">
        <v>16</v>
      </c>
      <c r="AP74" s="3">
        <v>11.45</v>
      </c>
      <c r="AQ74" s="3">
        <v>13.84</v>
      </c>
      <c r="AR74" s="229">
        <v>895662</v>
      </c>
      <c r="AS74" s="229">
        <f t="shared" si="5"/>
        <v>9177</v>
      </c>
      <c r="AT74" s="232">
        <f t="shared" si="6"/>
        <v>1.0246052640393362E-2</v>
      </c>
      <c r="AU74" s="3">
        <v>19.399999999999999</v>
      </c>
    </row>
    <row r="75" spans="2:47" ht="14.25" customHeight="1" x14ac:dyDescent="0.3">
      <c r="B75" s="59"/>
      <c r="C75" s="59"/>
      <c r="D75" s="59"/>
      <c r="E75" s="59"/>
      <c r="F75" s="59"/>
      <c r="G75" s="59"/>
      <c r="H75" s="59"/>
      <c r="I75" s="59"/>
      <c r="J75" s="59"/>
      <c r="K75" s="59"/>
      <c r="L75" s="59">
        <v>6</v>
      </c>
      <c r="M75" s="186"/>
      <c r="N75" s="186"/>
      <c r="O75" s="186"/>
      <c r="P75" s="46"/>
      <c r="Q75" s="46"/>
      <c r="R75" s="59"/>
      <c r="S75" s="59"/>
      <c r="T75" s="59"/>
      <c r="U75" s="59"/>
      <c r="V75" s="59"/>
      <c r="W75" s="59"/>
      <c r="AJ75" s="3">
        <f t="shared" si="13"/>
        <v>0</v>
      </c>
      <c r="AK75" s="3">
        <v>70</v>
      </c>
      <c r="AL75" s="229">
        <v>802940</v>
      </c>
      <c r="AM75" s="229">
        <f t="shared" si="3"/>
        <v>16972</v>
      </c>
      <c r="AN75" s="230">
        <f t="shared" si="4"/>
        <v>2.113732034772212E-2</v>
      </c>
      <c r="AO75" s="3">
        <v>15.3</v>
      </c>
      <c r="AP75" s="3">
        <v>10.96</v>
      </c>
      <c r="AQ75" s="3">
        <v>13.22</v>
      </c>
      <c r="AR75" s="229">
        <v>886485</v>
      </c>
      <c r="AS75" s="229">
        <f t="shared" si="5"/>
        <v>10065</v>
      </c>
      <c r="AT75" s="232">
        <f t="shared" si="6"/>
        <v>1.1353830014044232E-2</v>
      </c>
      <c r="AU75" s="3">
        <v>18.600000000000001</v>
      </c>
    </row>
    <row r="76" spans="2:47" ht="14.25" customHeight="1" x14ac:dyDescent="0.3">
      <c r="B76" s="59"/>
      <c r="C76" s="59"/>
      <c r="D76" s="59"/>
      <c r="E76" s="59"/>
      <c r="F76" s="59">
        <v>100</v>
      </c>
      <c r="G76" s="59">
        <f t="shared" ref="G76:G81" si="14">+$G$68*F76/100</f>
        <v>100</v>
      </c>
      <c r="H76" s="59"/>
      <c r="I76" s="59">
        <f t="shared" ref="I76:I81" si="15">+$I$68*F76/100</f>
        <v>50</v>
      </c>
      <c r="J76" s="59">
        <f t="shared" ref="J76:J81" si="16">+$J$68*F76/100</f>
        <v>35</v>
      </c>
      <c r="K76" s="59">
        <f t="shared" ref="K76:K81" si="17">+$K$68*F76/100</f>
        <v>25</v>
      </c>
      <c r="L76" s="59">
        <v>3</v>
      </c>
      <c r="M76" s="186"/>
      <c r="N76" s="186"/>
      <c r="O76" s="186"/>
      <c r="P76" s="46"/>
      <c r="Q76" s="46"/>
      <c r="R76" s="59"/>
      <c r="S76" s="59"/>
      <c r="T76" s="59" t="str">
        <f>IF(U4="SI",CONCATENATE(T73,E13,T74),"")</f>
        <v/>
      </c>
      <c r="U76" s="59"/>
      <c r="V76" s="59"/>
      <c r="W76" s="59"/>
      <c r="AJ76" s="3">
        <f t="shared" si="13"/>
        <v>0</v>
      </c>
      <c r="AK76" s="3">
        <v>71</v>
      </c>
      <c r="AL76" s="229">
        <v>785968</v>
      </c>
      <c r="AM76" s="229">
        <f t="shared" si="3"/>
        <v>18310</v>
      </c>
      <c r="AN76" s="230">
        <f t="shared" si="4"/>
        <v>2.329611383669564E-2</v>
      </c>
      <c r="AO76" s="3">
        <v>14.6</v>
      </c>
      <c r="AP76" s="3">
        <v>10.47</v>
      </c>
      <c r="AQ76" s="3">
        <v>12.61</v>
      </c>
      <c r="AR76" s="229">
        <v>876420</v>
      </c>
      <c r="AS76" s="229">
        <f t="shared" si="5"/>
        <v>11036</v>
      </c>
      <c r="AT76" s="232">
        <f t="shared" si="6"/>
        <v>1.2592136190410989E-2</v>
      </c>
      <c r="AU76" s="3">
        <v>17.8</v>
      </c>
    </row>
    <row r="77" spans="2:47" ht="14.25" customHeight="1" x14ac:dyDescent="0.3">
      <c r="B77" s="59"/>
      <c r="C77" s="59"/>
      <c r="D77" s="59"/>
      <c r="E77" s="59"/>
      <c r="F77" s="59">
        <v>80</v>
      </c>
      <c r="G77" s="59">
        <f t="shared" si="14"/>
        <v>80</v>
      </c>
      <c r="H77" s="59"/>
      <c r="I77" s="59">
        <f t="shared" si="15"/>
        <v>40</v>
      </c>
      <c r="J77" s="59">
        <f t="shared" si="16"/>
        <v>28</v>
      </c>
      <c r="K77" s="59">
        <f t="shared" si="17"/>
        <v>20</v>
      </c>
      <c r="L77" s="59">
        <v>1.5</v>
      </c>
      <c r="M77" s="186"/>
      <c r="N77" s="186"/>
      <c r="O77" s="186"/>
      <c r="P77" s="46"/>
      <c r="Q77" s="46"/>
      <c r="R77" s="59"/>
      <c r="S77" s="59"/>
      <c r="T77" s="59"/>
      <c r="U77" s="59"/>
      <c r="V77" s="59"/>
      <c r="W77" s="59"/>
      <c r="AJ77" s="3">
        <f t="shared" si="13"/>
        <v>0</v>
      </c>
      <c r="AK77" s="3">
        <v>72</v>
      </c>
      <c r="AL77" s="229">
        <v>767658</v>
      </c>
      <c r="AM77" s="229">
        <f t="shared" si="3"/>
        <v>19688</v>
      </c>
      <c r="AN77" s="230">
        <f t="shared" si="4"/>
        <v>2.5646837524001573E-2</v>
      </c>
      <c r="AO77" s="3">
        <v>14</v>
      </c>
      <c r="AP77" s="3">
        <v>10</v>
      </c>
      <c r="AQ77" s="3">
        <v>12</v>
      </c>
      <c r="AR77" s="229">
        <v>865384</v>
      </c>
      <c r="AS77" s="229">
        <f t="shared" si="5"/>
        <v>12095</v>
      </c>
      <c r="AT77" s="232">
        <f t="shared" si="6"/>
        <v>1.397645438325645E-2</v>
      </c>
      <c r="AU77" s="3">
        <v>17</v>
      </c>
    </row>
    <row r="78" spans="2:47" ht="14.25" customHeight="1" x14ac:dyDescent="0.3">
      <c r="B78" s="59"/>
      <c r="C78" s="59"/>
      <c r="D78" s="59"/>
      <c r="E78" s="59"/>
      <c r="F78" s="59">
        <v>60</v>
      </c>
      <c r="G78" s="59">
        <f t="shared" si="14"/>
        <v>60</v>
      </c>
      <c r="H78" s="59"/>
      <c r="I78" s="59">
        <f t="shared" si="15"/>
        <v>30</v>
      </c>
      <c r="J78" s="59">
        <f t="shared" si="16"/>
        <v>21</v>
      </c>
      <c r="K78" s="59">
        <f t="shared" si="17"/>
        <v>15</v>
      </c>
      <c r="L78" s="59"/>
      <c r="M78" s="186"/>
      <c r="N78" s="186"/>
      <c r="O78" s="186"/>
      <c r="P78" s="46"/>
      <c r="Q78" s="46"/>
      <c r="R78" s="59"/>
      <c r="S78" s="59"/>
      <c r="T78" s="59" t="s">
        <v>32</v>
      </c>
      <c r="U78" s="59"/>
      <c r="V78" s="59"/>
      <c r="W78" s="59"/>
      <c r="AJ78" s="3">
        <f t="shared" si="13"/>
        <v>0</v>
      </c>
      <c r="AK78" s="3">
        <v>73</v>
      </c>
      <c r="AL78" s="229">
        <v>747970</v>
      </c>
      <c r="AM78" s="229">
        <f t="shared" si="3"/>
        <v>21098</v>
      </c>
      <c r="AN78" s="230">
        <f t="shared" si="4"/>
        <v>2.820701365028009E-2</v>
      </c>
      <c r="AO78" s="3">
        <v>13.3</v>
      </c>
      <c r="AP78" s="3">
        <v>9.5299999999999994</v>
      </c>
      <c r="AQ78" s="3">
        <v>11.42</v>
      </c>
      <c r="AR78" s="229">
        <v>853289</v>
      </c>
      <c r="AS78" s="229">
        <f t="shared" si="5"/>
        <v>13245</v>
      </c>
      <c r="AT78" s="232">
        <f t="shared" si="6"/>
        <v>1.5522290806514558E-2</v>
      </c>
      <c r="AU78" s="3">
        <v>16.2</v>
      </c>
    </row>
    <row r="79" spans="2:47" ht="14.25" customHeight="1" x14ac:dyDescent="0.3">
      <c r="B79" s="59"/>
      <c r="C79" s="59"/>
      <c r="D79" s="59"/>
      <c r="E79" s="59"/>
      <c r="F79" s="59">
        <v>40</v>
      </c>
      <c r="G79" s="59">
        <f t="shared" si="14"/>
        <v>40</v>
      </c>
      <c r="H79" s="59"/>
      <c r="I79" s="59">
        <f t="shared" si="15"/>
        <v>20</v>
      </c>
      <c r="J79" s="59">
        <f t="shared" si="16"/>
        <v>14</v>
      </c>
      <c r="K79" s="59">
        <f t="shared" si="17"/>
        <v>10</v>
      </c>
      <c r="L79" s="59"/>
      <c r="M79" s="186"/>
      <c r="N79" s="186"/>
      <c r="O79" s="186"/>
      <c r="P79" s="46"/>
      <c r="Q79" s="46"/>
      <c r="R79" s="59"/>
      <c r="S79" s="59"/>
      <c r="T79" s="59" t="s">
        <v>33</v>
      </c>
      <c r="U79" s="59"/>
      <c r="V79" s="59"/>
      <c r="W79" s="59"/>
      <c r="AJ79" s="3">
        <f t="shared" si="13"/>
        <v>0</v>
      </c>
      <c r="AK79" s="3">
        <v>74</v>
      </c>
      <c r="AL79" s="229">
        <v>726872</v>
      </c>
      <c r="AM79" s="229">
        <f t="shared" si="3"/>
        <v>22530</v>
      </c>
      <c r="AN79" s="230">
        <f t="shared" si="4"/>
        <v>3.0995828701614589E-2</v>
      </c>
      <c r="AO79" s="3">
        <v>12.7</v>
      </c>
      <c r="AP79" s="3">
        <v>9.08</v>
      </c>
      <c r="AQ79" s="3">
        <v>10.85</v>
      </c>
      <c r="AR79" s="229">
        <v>840044</v>
      </c>
      <c r="AS79" s="229">
        <f t="shared" si="5"/>
        <v>14490</v>
      </c>
      <c r="AT79" s="232">
        <f t="shared" si="6"/>
        <v>1.7249096475898881E-2</v>
      </c>
      <c r="AU79" s="3">
        <v>15.5</v>
      </c>
    </row>
    <row r="80" spans="2:47" ht="14.25" customHeight="1" x14ac:dyDescent="0.3">
      <c r="B80" s="59"/>
      <c r="C80" s="59"/>
      <c r="D80" s="59"/>
      <c r="E80" s="59"/>
      <c r="F80" s="59">
        <v>20</v>
      </c>
      <c r="G80" s="59">
        <f t="shared" si="14"/>
        <v>20</v>
      </c>
      <c r="H80" s="59"/>
      <c r="I80" s="59">
        <f t="shared" si="15"/>
        <v>10</v>
      </c>
      <c r="J80" s="59">
        <f t="shared" si="16"/>
        <v>7</v>
      </c>
      <c r="K80" s="59">
        <f t="shared" si="17"/>
        <v>5</v>
      </c>
      <c r="L80" s="59">
        <f t="shared" ref="L80:L85" si="18">+$L$72*F76/100</f>
        <v>15</v>
      </c>
      <c r="M80" s="186"/>
      <c r="N80" s="186"/>
      <c r="O80" s="186"/>
      <c r="P80" s="46"/>
      <c r="Q80" s="46"/>
      <c r="R80" s="59"/>
      <c r="S80" s="59"/>
      <c r="T80" s="59" t="s">
        <v>34</v>
      </c>
      <c r="U80" s="59"/>
      <c r="V80" s="59"/>
      <c r="W80" s="59"/>
      <c r="AJ80" s="3">
        <f t="shared" si="13"/>
        <v>0</v>
      </c>
      <c r="AK80" s="3">
        <v>75</v>
      </c>
      <c r="AL80" s="229">
        <v>704342</v>
      </c>
      <c r="AM80" s="229">
        <f t="shared" si="3"/>
        <v>23970</v>
      </c>
      <c r="AN80" s="230">
        <f t="shared" si="4"/>
        <v>3.4031762978780196E-2</v>
      </c>
      <c r="AO80" s="3">
        <v>12.1</v>
      </c>
      <c r="AP80" s="3">
        <v>8.65</v>
      </c>
      <c r="AQ80" s="3">
        <v>10.29</v>
      </c>
      <c r="AR80" s="229">
        <v>825554</v>
      </c>
      <c r="AS80" s="229">
        <f t="shared" si="5"/>
        <v>15832</v>
      </c>
      <c r="AT80" s="232">
        <f t="shared" si="6"/>
        <v>1.9177425098782151E-2</v>
      </c>
      <c r="AU80" s="3">
        <v>14.7</v>
      </c>
    </row>
    <row r="81" spans="2:47" ht="14.25" customHeight="1" x14ac:dyDescent="0.3">
      <c r="B81" s="59"/>
      <c r="C81" s="59"/>
      <c r="D81" s="59"/>
      <c r="E81" s="59"/>
      <c r="F81" s="59">
        <v>10</v>
      </c>
      <c r="G81" s="59">
        <f t="shared" si="14"/>
        <v>10</v>
      </c>
      <c r="H81" s="59"/>
      <c r="I81" s="59">
        <f t="shared" si="15"/>
        <v>5</v>
      </c>
      <c r="J81" s="59">
        <f t="shared" si="16"/>
        <v>3.5</v>
      </c>
      <c r="K81" s="59">
        <f t="shared" si="17"/>
        <v>2.5</v>
      </c>
      <c r="L81" s="59">
        <f t="shared" si="18"/>
        <v>12</v>
      </c>
      <c r="M81" s="186"/>
      <c r="N81" s="186"/>
      <c r="O81" s="186"/>
      <c r="P81" s="46"/>
      <c r="Q81" s="46"/>
      <c r="R81" s="59"/>
      <c r="S81" s="59"/>
      <c r="T81" s="59" t="s">
        <v>35</v>
      </c>
      <c r="U81" s="59"/>
      <c r="V81" s="59"/>
      <c r="W81" s="59"/>
      <c r="AJ81" s="3">
        <f t="shared" si="13"/>
        <v>0</v>
      </c>
      <c r="AK81" s="3">
        <v>76</v>
      </c>
      <c r="AL81" s="229">
        <v>680372</v>
      </c>
      <c r="AM81" s="229">
        <f t="shared" si="3"/>
        <v>25402</v>
      </c>
      <c r="AN81" s="230">
        <f t="shared" si="4"/>
        <v>3.7335457661397002E-2</v>
      </c>
      <c r="AO81" s="3">
        <v>11.5</v>
      </c>
      <c r="AP81" s="3">
        <v>8.2200000000000006</v>
      </c>
      <c r="AQ81" s="3">
        <v>9.75</v>
      </c>
      <c r="AR81" s="229">
        <v>809722</v>
      </c>
      <c r="AS81" s="229">
        <f t="shared" si="5"/>
        <v>17272</v>
      </c>
      <c r="AT81" s="232">
        <f t="shared" si="6"/>
        <v>2.1330777723712582E-2</v>
      </c>
      <c r="AU81" s="3">
        <v>14</v>
      </c>
    </row>
    <row r="82" spans="2:47" ht="14.25" customHeight="1" x14ac:dyDescent="0.3">
      <c r="B82" s="59"/>
      <c r="C82" s="59"/>
      <c r="D82" s="59"/>
      <c r="E82" s="59"/>
      <c r="F82" s="59"/>
      <c r="G82" s="59"/>
      <c r="H82" s="59"/>
      <c r="I82" s="59"/>
      <c r="J82" s="59"/>
      <c r="K82" s="59"/>
      <c r="L82" s="59">
        <f t="shared" si="18"/>
        <v>9</v>
      </c>
      <c r="M82" s="186"/>
      <c r="N82" s="186"/>
      <c r="O82" s="186"/>
      <c r="P82" s="46"/>
      <c r="Q82" s="46"/>
      <c r="R82" s="59"/>
      <c r="S82" s="59"/>
      <c r="T82" s="59" t="s">
        <v>36</v>
      </c>
      <c r="U82" s="59"/>
      <c r="V82" s="59"/>
      <c r="W82" s="59"/>
      <c r="AJ82" s="3">
        <f t="shared" si="13"/>
        <v>0</v>
      </c>
      <c r="AK82" s="3">
        <v>77</v>
      </c>
      <c r="AL82" s="229">
        <v>654970</v>
      </c>
      <c r="AM82" s="229">
        <f t="shared" si="3"/>
        <v>26808</v>
      </c>
      <c r="AN82" s="230">
        <f t="shared" si="4"/>
        <v>4.0930118936745197E-2</v>
      </c>
      <c r="AO82" s="3">
        <v>10.9</v>
      </c>
      <c r="AP82" s="3">
        <v>7.81</v>
      </c>
      <c r="AQ82" s="3">
        <v>9.23</v>
      </c>
      <c r="AR82" s="229">
        <v>792450</v>
      </c>
      <c r="AS82" s="229">
        <f t="shared" si="5"/>
        <v>18809</v>
      </c>
      <c r="AT82" s="232">
        <f t="shared" si="6"/>
        <v>2.3735251435421795E-2</v>
      </c>
      <c r="AU82" s="3">
        <v>13.3</v>
      </c>
    </row>
    <row r="83" spans="2:47" ht="14.25" customHeight="1" x14ac:dyDescent="0.3">
      <c r="B83" s="59"/>
      <c r="C83" s="59"/>
      <c r="D83" s="59" t="s">
        <v>37</v>
      </c>
      <c r="E83" s="59"/>
      <c r="F83" s="59"/>
      <c r="G83" s="59"/>
      <c r="H83" s="59"/>
      <c r="I83" s="59"/>
      <c r="J83" s="59"/>
      <c r="K83" s="59"/>
      <c r="L83" s="59">
        <f t="shared" si="18"/>
        <v>6</v>
      </c>
      <c r="M83" s="186"/>
      <c r="N83" s="186"/>
      <c r="O83" s="186"/>
      <c r="P83" s="46"/>
      <c r="Q83" s="46"/>
      <c r="R83" s="59"/>
      <c r="S83" s="59"/>
      <c r="T83" s="59"/>
      <c r="U83" s="59"/>
      <c r="V83" s="59"/>
      <c r="W83" s="59"/>
      <c r="AJ83" s="3">
        <f t="shared" si="13"/>
        <v>0</v>
      </c>
      <c r="AK83" s="3">
        <v>78</v>
      </c>
      <c r="AL83" s="229">
        <v>628162</v>
      </c>
      <c r="AM83" s="229">
        <f t="shared" si="3"/>
        <v>28168</v>
      </c>
      <c r="AN83" s="230">
        <f t="shared" si="4"/>
        <v>4.4841935679012741E-2</v>
      </c>
      <c r="AO83" s="3">
        <v>10.4</v>
      </c>
      <c r="AP83" s="3">
        <v>7.41</v>
      </c>
      <c r="AQ83" s="3">
        <v>8.73</v>
      </c>
      <c r="AR83" s="229">
        <v>773641</v>
      </c>
      <c r="AS83" s="229">
        <f t="shared" si="5"/>
        <v>20439</v>
      </c>
      <c r="AT83" s="232">
        <f t="shared" si="6"/>
        <v>2.6419230625057358E-2</v>
      </c>
      <c r="AU83" s="3">
        <v>12.6</v>
      </c>
    </row>
    <row r="84" spans="2:47" ht="14.25" customHeight="1" x14ac:dyDescent="0.3">
      <c r="B84" s="59"/>
      <c r="C84" s="59"/>
      <c r="D84" s="59" t="s">
        <v>12</v>
      </c>
      <c r="E84" s="59"/>
      <c r="F84" s="59"/>
      <c r="G84" s="59"/>
      <c r="H84" s="59"/>
      <c r="I84" s="59"/>
      <c r="J84" s="59"/>
      <c r="K84" s="59"/>
      <c r="L84" s="59">
        <f t="shared" si="18"/>
        <v>3</v>
      </c>
      <c r="M84" s="186"/>
      <c r="N84" s="186"/>
      <c r="O84" s="186">
        <f>+I97*G68/100</f>
        <v>20</v>
      </c>
      <c r="P84" s="46"/>
      <c r="Q84" s="46"/>
      <c r="R84" s="59"/>
      <c r="S84" s="59"/>
      <c r="T84" s="59" t="str">
        <f>IF($U$4="SI",CONCATENATE(T78,O84,$O$74),"")</f>
        <v/>
      </c>
      <c r="U84" s="59"/>
      <c r="V84" s="59"/>
      <c r="W84" s="59"/>
      <c r="AJ84" s="3">
        <f t="shared" si="13"/>
        <v>0</v>
      </c>
      <c r="AK84" s="3">
        <v>79</v>
      </c>
      <c r="AL84" s="229">
        <v>599994</v>
      </c>
      <c r="AM84" s="229">
        <f t="shared" ref="AM84:AP115" si="19">+AL84-AL85</f>
        <v>29456</v>
      </c>
      <c r="AN84" s="230">
        <f t="shared" ref="AN84:AQ115" si="20">+AM84/AL84</f>
        <v>4.9093824271576048E-2</v>
      </c>
      <c r="AO84" s="3">
        <v>9.8000000000000007</v>
      </c>
      <c r="AP84" s="3">
        <v>7.03</v>
      </c>
      <c r="AQ84" s="3">
        <v>8.24</v>
      </c>
      <c r="AR84" s="229">
        <v>753202</v>
      </c>
      <c r="AS84" s="229">
        <f t="shared" ref="AS84:AV115" si="21">+AR84-AR85</f>
        <v>22154</v>
      </c>
      <c r="AT84" s="232">
        <f t="shared" ref="AT84:AW115" si="22">+AS84/AR84</f>
        <v>2.9413092370970867E-2</v>
      </c>
      <c r="AU84" s="3">
        <v>11.9</v>
      </c>
    </row>
    <row r="85" spans="2:47" ht="14.25" customHeight="1" x14ac:dyDescent="0.3">
      <c r="B85" s="59"/>
      <c r="C85" s="59"/>
      <c r="D85" s="59" t="s">
        <v>38</v>
      </c>
      <c r="E85" s="59">
        <f>IF(E16="","",IF(E16="CONTRIBUTIV.",0.3333,IF(E16="SUBSIDIADO",1,IF(E16="BENEFICIARIO",0,IF(E16="PENSIONADO",0,IF(E16="MILITAR",0,0))))))</f>
        <v>0</v>
      </c>
      <c r="F85" s="59">
        <f>+IF(K7="","",IF(E85="","",IF(E86="","",E85*E86*E87/30)))</f>
        <v>0</v>
      </c>
      <c r="G85" s="59"/>
      <c r="H85" s="59"/>
      <c r="I85" s="59" t="e">
        <f>+IF(K7="","",IF(#REF!="","",K7*#REF!))</f>
        <v>#REF!</v>
      </c>
      <c r="J85" s="59"/>
      <c r="K85" s="59"/>
      <c r="L85" s="59">
        <f t="shared" si="18"/>
        <v>1.5</v>
      </c>
      <c r="M85" s="186"/>
      <c r="N85" s="186"/>
      <c r="O85" s="186">
        <f>+I97*I68/100</f>
        <v>10</v>
      </c>
      <c r="P85" s="46"/>
      <c r="Q85" s="46"/>
      <c r="R85" s="59"/>
      <c r="S85" s="59"/>
      <c r="T85" s="59" t="str">
        <f>IF($U$4="SI",CONCATENATE(T79,O85,$O$74),"")</f>
        <v/>
      </c>
      <c r="U85" s="59"/>
      <c r="V85" s="59"/>
      <c r="W85" s="59"/>
      <c r="AJ85" s="3">
        <f t="shared" si="13"/>
        <v>0</v>
      </c>
      <c r="AK85" s="3">
        <v>80</v>
      </c>
      <c r="AL85" s="229">
        <v>570538</v>
      </c>
      <c r="AM85" s="229">
        <f t="shared" si="19"/>
        <v>30646</v>
      </c>
      <c r="AN85" s="230">
        <f t="shared" si="20"/>
        <v>5.3714213601898556E-2</v>
      </c>
      <c r="AO85" s="3">
        <v>9.3000000000000007</v>
      </c>
      <c r="AP85" s="3">
        <v>6.66</v>
      </c>
      <c r="AQ85" s="3">
        <v>7.77</v>
      </c>
      <c r="AR85" s="229">
        <v>731048</v>
      </c>
      <c r="AS85" s="229">
        <f t="shared" si="21"/>
        <v>23943</v>
      </c>
      <c r="AT85" s="232">
        <f t="shared" si="22"/>
        <v>3.2751611385298911E-2</v>
      </c>
      <c r="AU85" s="3">
        <v>11.3</v>
      </c>
    </row>
    <row r="86" spans="2:47" ht="14.25" customHeight="1" x14ac:dyDescent="0.3">
      <c r="B86" s="59"/>
      <c r="C86" s="59"/>
      <c r="D86" s="59" t="s">
        <v>39</v>
      </c>
      <c r="E86" s="59">
        <f>IF(E16="CONTRIBUTIV.",IF(E14="","",E14-2),IF(E14="","",E14))</f>
        <v>95</v>
      </c>
      <c r="F86" s="59"/>
      <c r="G86" s="59"/>
      <c r="H86" s="59"/>
      <c r="I86" s="59"/>
      <c r="J86" s="59"/>
      <c r="K86" s="59"/>
      <c r="L86" s="59"/>
      <c r="M86" s="186"/>
      <c r="N86" s="186"/>
      <c r="O86" s="186">
        <f>+I97*J68/100</f>
        <v>7</v>
      </c>
      <c r="P86" s="46"/>
      <c r="Q86" s="46"/>
      <c r="R86" s="59"/>
      <c r="S86" s="59"/>
      <c r="T86" s="59" t="str">
        <f>IF($U$4="SI",CONCATENATE(T80,O86,$O$74),"")</f>
        <v/>
      </c>
      <c r="U86" s="59"/>
      <c r="V86" s="59"/>
      <c r="W86" s="59"/>
      <c r="AJ86" s="3">
        <f t="shared" si="13"/>
        <v>0</v>
      </c>
      <c r="AK86" s="3">
        <v>81</v>
      </c>
      <c r="AL86" s="229">
        <v>539892</v>
      </c>
      <c r="AM86" s="229">
        <f t="shared" si="19"/>
        <v>31711</v>
      </c>
      <c r="AN86" s="230">
        <f t="shared" si="20"/>
        <v>5.8735821238321738E-2</v>
      </c>
      <c r="AO86" s="3">
        <v>8.8000000000000007</v>
      </c>
      <c r="AP86" s="3">
        <v>6.3</v>
      </c>
      <c r="AQ86" s="3">
        <v>7.32</v>
      </c>
      <c r="AR86" s="229">
        <v>707105</v>
      </c>
      <c r="AS86" s="229">
        <f t="shared" si="21"/>
        <v>25791</v>
      </c>
      <c r="AT86" s="232">
        <f t="shared" si="22"/>
        <v>3.6474073864560426E-2</v>
      </c>
      <c r="AU86" s="3">
        <v>10.6</v>
      </c>
    </row>
    <row r="87" spans="2:47" ht="14.25" customHeight="1" x14ac:dyDescent="0.3">
      <c r="B87" s="59"/>
      <c r="C87" s="59"/>
      <c r="D87" s="59" t="s">
        <v>40</v>
      </c>
      <c r="E87" s="59">
        <f>IF(K7="","",IF(E12="",K7,IF(E12&lt;K7,K7,E12)))</f>
        <v>1000000</v>
      </c>
      <c r="F87" s="59"/>
      <c r="G87" s="59"/>
      <c r="H87" s="59"/>
      <c r="I87" s="59"/>
      <c r="J87" s="59"/>
      <c r="K87" s="59"/>
      <c r="L87" s="59"/>
      <c r="M87" s="186">
        <f>IF(K7="","",IF(E13="","",K7*0.06*E13))</f>
        <v>1075200</v>
      </c>
      <c r="N87" s="186"/>
      <c r="O87" s="186">
        <f>+I97*K68/100</f>
        <v>5</v>
      </c>
      <c r="P87" s="46"/>
      <c r="Q87" s="46"/>
      <c r="R87" s="59"/>
      <c r="S87" s="59"/>
      <c r="T87" s="59" t="str">
        <f>IF($U$4="SI",CONCATENATE(T81,O87,$O$74),"")</f>
        <v/>
      </c>
      <c r="U87" s="59"/>
      <c r="V87" s="59"/>
      <c r="W87" s="59"/>
      <c r="AJ87" s="3">
        <f t="shared" si="13"/>
        <v>0</v>
      </c>
      <c r="AK87" s="3">
        <v>82</v>
      </c>
      <c r="AL87" s="229">
        <v>508181</v>
      </c>
      <c r="AM87" s="229">
        <f t="shared" si="19"/>
        <v>32619</v>
      </c>
      <c r="AN87" s="230">
        <f t="shared" si="20"/>
        <v>6.4187759872958647E-2</v>
      </c>
      <c r="AO87" s="3">
        <v>8.3000000000000007</v>
      </c>
      <c r="AP87" s="3">
        <v>5.96</v>
      </c>
      <c r="AQ87" s="3">
        <v>6.88</v>
      </c>
      <c r="AR87" s="229">
        <v>681314</v>
      </c>
      <c r="AS87" s="229">
        <f t="shared" si="21"/>
        <v>27677</v>
      </c>
      <c r="AT87" s="232">
        <f t="shared" si="22"/>
        <v>4.0622972667521878E-2</v>
      </c>
      <c r="AU87" s="3">
        <v>10</v>
      </c>
    </row>
    <row r="88" spans="2:47" ht="14.25" customHeight="1" x14ac:dyDescent="0.3">
      <c r="B88" s="59"/>
      <c r="C88" s="59"/>
      <c r="D88" s="59" t="s">
        <v>41</v>
      </c>
      <c r="E88" s="59"/>
      <c r="F88" s="59"/>
      <c r="G88" s="59"/>
      <c r="H88" s="59"/>
      <c r="I88" s="59"/>
      <c r="J88" s="59"/>
      <c r="K88" s="59"/>
      <c r="L88" s="59"/>
      <c r="M88" s="186"/>
      <c r="N88" s="186"/>
      <c r="O88" s="186">
        <f>+I97*L72/100</f>
        <v>3</v>
      </c>
      <c r="P88" s="46"/>
      <c r="Q88" s="46"/>
      <c r="R88" s="59"/>
      <c r="S88" s="59"/>
      <c r="T88" s="59" t="str">
        <f>IF($U$4="SI",CONCATENATE(T82,O88,$O$74),"")</f>
        <v/>
      </c>
      <c r="U88" s="59"/>
      <c r="V88" s="59"/>
      <c r="W88" s="59"/>
      <c r="Z88" s="97" t="str">
        <f ca="1">+IF(ISERR(O122+Z100)=TRUE,"",O122+Z100)</f>
        <v/>
      </c>
      <c r="AJ88" s="3">
        <f t="shared" si="13"/>
        <v>0</v>
      </c>
      <c r="AK88" s="3">
        <v>83</v>
      </c>
      <c r="AL88" s="229">
        <v>475562</v>
      </c>
      <c r="AM88" s="229">
        <f t="shared" si="19"/>
        <v>33340</v>
      </c>
      <c r="AN88" s="230">
        <f t="shared" si="20"/>
        <v>7.0106526593798499E-2</v>
      </c>
      <c r="AO88" s="3">
        <v>7.8</v>
      </c>
      <c r="AP88" s="3">
        <v>5.63</v>
      </c>
      <c r="AQ88" s="3">
        <v>6.46</v>
      </c>
      <c r="AR88" s="229">
        <v>653637</v>
      </c>
      <c r="AS88" s="229">
        <f t="shared" si="21"/>
        <v>29572</v>
      </c>
      <c r="AT88" s="232">
        <f t="shared" si="22"/>
        <v>4.5242236899073952E-2</v>
      </c>
      <c r="AU88" s="3">
        <v>9.4</v>
      </c>
    </row>
    <row r="89" spans="2:47" ht="14.25" customHeight="1" x14ac:dyDescent="0.3">
      <c r="B89" s="59"/>
      <c r="C89" s="59"/>
      <c r="D89" s="59"/>
      <c r="E89" s="59"/>
      <c r="F89" s="2"/>
      <c r="G89" s="2"/>
      <c r="H89" s="2"/>
      <c r="I89" s="2"/>
      <c r="J89" s="2"/>
      <c r="K89" s="2"/>
      <c r="L89" s="2"/>
      <c r="M89" s="192"/>
      <c r="N89" s="192"/>
      <c r="O89" s="192"/>
      <c r="P89" s="2"/>
      <c r="Q89" s="2"/>
      <c r="R89" s="2"/>
      <c r="S89" s="2"/>
      <c r="T89" s="2"/>
      <c r="U89" s="59"/>
      <c r="V89" s="59"/>
      <c r="W89" s="59"/>
      <c r="Z89" s="97" t="str">
        <f ca="1">+Z101</f>
        <v/>
      </c>
      <c r="AJ89" s="3">
        <f t="shared" si="13"/>
        <v>0</v>
      </c>
      <c r="AK89" s="3">
        <v>84</v>
      </c>
      <c r="AL89" s="229">
        <v>442222</v>
      </c>
      <c r="AM89" s="229">
        <f t="shared" si="19"/>
        <v>33841</v>
      </c>
      <c r="AN89" s="230">
        <f t="shared" si="20"/>
        <v>7.6524912826589367E-2</v>
      </c>
      <c r="AO89" s="3">
        <v>7.4</v>
      </c>
      <c r="AP89" s="3">
        <v>5.31</v>
      </c>
      <c r="AQ89" s="3">
        <v>6.07</v>
      </c>
      <c r="AR89" s="229">
        <v>624065</v>
      </c>
      <c r="AS89" s="229">
        <f t="shared" si="21"/>
        <v>31445</v>
      </c>
      <c r="AT89" s="232">
        <f t="shared" si="22"/>
        <v>5.0387379519761563E-2</v>
      </c>
      <c r="AU89" s="3">
        <v>8.9</v>
      </c>
    </row>
    <row r="90" spans="2:47" ht="14.25" customHeight="1" x14ac:dyDescent="0.3">
      <c r="B90" s="59"/>
      <c r="C90" s="59"/>
      <c r="D90" s="59" t="s">
        <v>10</v>
      </c>
      <c r="E90" s="59"/>
      <c r="F90" s="2"/>
      <c r="G90" s="2"/>
      <c r="H90" s="2"/>
      <c r="I90" s="2"/>
      <c r="J90" s="2"/>
      <c r="K90" s="2"/>
      <c r="L90" s="2"/>
      <c r="M90" s="192"/>
      <c r="N90" s="192"/>
      <c r="O90" s="192"/>
      <c r="P90" s="2"/>
      <c r="Q90" s="2"/>
      <c r="R90" s="2"/>
      <c r="S90" s="2"/>
      <c r="T90" s="2"/>
      <c r="U90" s="59"/>
      <c r="V90" s="59"/>
      <c r="W90" s="59"/>
      <c r="Z90" s="97" t="str">
        <f ca="1">+Z102</f>
        <v/>
      </c>
      <c r="AJ90" s="3">
        <f t="shared" si="13"/>
        <v>0</v>
      </c>
      <c r="AK90" s="3">
        <v>85</v>
      </c>
      <c r="AL90" s="229">
        <v>408381</v>
      </c>
      <c r="AM90" s="229">
        <f t="shared" si="19"/>
        <v>34093</v>
      </c>
      <c r="AN90" s="230">
        <f t="shared" si="20"/>
        <v>8.3483315825173057E-2</v>
      </c>
      <c r="AO90" s="3">
        <v>7</v>
      </c>
      <c r="AP90" s="3">
        <v>5</v>
      </c>
      <c r="AQ90" s="3">
        <v>5.68</v>
      </c>
      <c r="AR90" s="229">
        <v>592620</v>
      </c>
      <c r="AS90" s="229">
        <f t="shared" si="21"/>
        <v>33252</v>
      </c>
      <c r="AT90" s="232">
        <f t="shared" si="22"/>
        <v>5.6110154905335628E-2</v>
      </c>
      <c r="AU90" s="3">
        <v>8.3000000000000007</v>
      </c>
    </row>
    <row r="91" spans="2:47" ht="14.25" customHeight="1" x14ac:dyDescent="0.35">
      <c r="B91" s="59"/>
      <c r="C91" s="59"/>
      <c r="D91" s="59" t="s">
        <v>42</v>
      </c>
      <c r="E91" s="59"/>
      <c r="F91" s="2"/>
      <c r="G91" s="2"/>
      <c r="H91" s="2"/>
      <c r="I91" s="2"/>
      <c r="J91" s="2"/>
      <c r="K91" s="228">
        <f>K93*Q91/Q92</f>
        <v>261945.83909863609</v>
      </c>
      <c r="L91" s="2"/>
      <c r="M91" s="192"/>
      <c r="N91" s="192"/>
      <c r="O91" s="192"/>
      <c r="P91" s="224" t="s">
        <v>448</v>
      </c>
      <c r="Q91" s="225">
        <v>147.9</v>
      </c>
      <c r="R91" s="2"/>
      <c r="S91" s="2"/>
      <c r="T91" s="2"/>
      <c r="U91" s="59"/>
      <c r="V91" s="59"/>
      <c r="W91" s="59"/>
      <c r="Z91" s="97" t="str">
        <f ca="1">+Z103</f>
        <v/>
      </c>
      <c r="AJ91" s="3">
        <f t="shared" si="13"/>
        <v>0</v>
      </c>
      <c r="AK91" s="3">
        <v>86</v>
      </c>
      <c r="AL91" s="229">
        <v>374288</v>
      </c>
      <c r="AM91" s="229">
        <f t="shared" si="19"/>
        <v>34069</v>
      </c>
      <c r="AN91" s="230">
        <f t="shared" si="20"/>
        <v>9.1023489932885907E-2</v>
      </c>
      <c r="AO91" s="3">
        <v>6.6</v>
      </c>
      <c r="AP91" s="3">
        <v>4.71</v>
      </c>
      <c r="AQ91" s="3">
        <v>5.32</v>
      </c>
      <c r="AR91" s="229">
        <v>559368</v>
      </c>
      <c r="AS91" s="229">
        <f t="shared" si="21"/>
        <v>34945</v>
      </c>
      <c r="AT91" s="232">
        <f t="shared" si="22"/>
        <v>6.2472290156033235E-2</v>
      </c>
      <c r="AU91" s="3">
        <v>7.8</v>
      </c>
    </row>
    <row r="92" spans="2:47" ht="14.25" customHeight="1" x14ac:dyDescent="0.35">
      <c r="B92" s="59"/>
      <c r="C92" s="59"/>
      <c r="D92" s="59"/>
      <c r="E92" s="59"/>
      <c r="F92" s="2"/>
      <c r="G92" s="2"/>
      <c r="H92" s="2"/>
      <c r="I92" s="2"/>
      <c r="J92" s="2"/>
      <c r="K92" s="199">
        <f>+IF(K7="","",IF(E12&lt;K7,K7,E12))</f>
        <v>1000000</v>
      </c>
      <c r="L92" s="2"/>
      <c r="M92" s="200">
        <f ca="1">+IF(E16="Menor con PCL",K93*(((1.004867^AC51)-1)/0.004867),K93*(((1.004867^AC47)-1)/0.004867))</f>
        <v>5566913.0447528455</v>
      </c>
      <c r="N92" s="192"/>
      <c r="O92" s="192"/>
      <c r="P92" s="226" t="s">
        <v>450</v>
      </c>
      <c r="Q92" s="227">
        <v>101.18</v>
      </c>
      <c r="R92" s="2"/>
      <c r="S92" s="2"/>
      <c r="T92" s="2"/>
      <c r="U92" s="59"/>
      <c r="V92" s="59"/>
      <c r="W92" s="59"/>
      <c r="Y92" s="97"/>
      <c r="AJ92" s="3">
        <f t="shared" si="13"/>
        <v>0</v>
      </c>
      <c r="AK92" s="3">
        <v>87</v>
      </c>
      <c r="AL92" s="229">
        <v>340219</v>
      </c>
      <c r="AM92" s="229">
        <f t="shared" si="19"/>
        <v>33745</v>
      </c>
      <c r="AN92" s="230">
        <f t="shared" si="20"/>
        <v>9.918611247461194E-2</v>
      </c>
      <c r="AO92" s="3">
        <v>6.2</v>
      </c>
      <c r="AP92" s="3">
        <v>4.4400000000000004</v>
      </c>
      <c r="AQ92" s="3">
        <v>4.97</v>
      </c>
      <c r="AR92" s="229">
        <v>524423</v>
      </c>
      <c r="AS92" s="229">
        <f t="shared" si="21"/>
        <v>36469</v>
      </c>
      <c r="AT92" s="232">
        <f t="shared" si="22"/>
        <v>6.9541190985139861E-2</v>
      </c>
      <c r="AU92" s="3">
        <v>7.3</v>
      </c>
    </row>
    <row r="93" spans="2:47" ht="14.25" customHeight="1" x14ac:dyDescent="0.3">
      <c r="B93" s="59"/>
      <c r="C93" s="59"/>
      <c r="D93" s="59"/>
      <c r="E93" s="59"/>
      <c r="F93" s="2"/>
      <c r="G93" s="2"/>
      <c r="H93" s="2"/>
      <c r="I93" s="2"/>
      <c r="J93" s="2"/>
      <c r="K93" s="199">
        <f>+K92*E13/100</f>
        <v>179200</v>
      </c>
      <c r="L93" s="2"/>
      <c r="M93" s="200">
        <f ca="1">+IF(E16="Menor con PCL",K91*(((1.004867^AD51)-1)/(0.004867*(1.004867^AD51))),K93*(((1.004867^AD47)-1)/(0.004867*(1.004867^AD47))))</f>
        <v>35968619.68923381</v>
      </c>
      <c r="N93" s="192"/>
      <c r="O93" s="192"/>
      <c r="P93" s="2"/>
      <c r="Q93" s="2"/>
      <c r="R93" s="2"/>
      <c r="S93" s="2"/>
      <c r="T93" s="2"/>
      <c r="U93" s="59"/>
      <c r="V93" s="59"/>
      <c r="W93" s="59"/>
      <c r="X93" s="97"/>
      <c r="Z93" s="97" t="str">
        <f ca="1">+IF(SUM(Z88:Z91)=0,"",SUM(Z88:Z91))</f>
        <v/>
      </c>
      <c r="AJ93" s="3">
        <f t="shared" si="13"/>
        <v>0</v>
      </c>
      <c r="AK93" s="3">
        <v>88</v>
      </c>
      <c r="AL93" s="229">
        <v>306474</v>
      </c>
      <c r="AM93" s="229">
        <f t="shared" si="19"/>
        <v>33103</v>
      </c>
      <c r="AN93" s="230">
        <f t="shared" si="20"/>
        <v>0.10801242519756978</v>
      </c>
      <c r="AO93" s="3">
        <v>5.8</v>
      </c>
      <c r="AP93" s="3">
        <v>4.17</v>
      </c>
      <c r="AQ93" s="3">
        <v>4.6399999999999997</v>
      </c>
      <c r="AR93" s="229">
        <v>487954</v>
      </c>
      <c r="AS93" s="229">
        <f t="shared" si="21"/>
        <v>37762</v>
      </c>
      <c r="AT93" s="232">
        <f t="shared" si="22"/>
        <v>7.7388442353172632E-2</v>
      </c>
      <c r="AU93" s="3">
        <v>6.8</v>
      </c>
    </row>
    <row r="94" spans="2:47" ht="14.25" customHeight="1" x14ac:dyDescent="0.3">
      <c r="B94" s="59"/>
      <c r="C94" s="59"/>
      <c r="D94" s="59"/>
      <c r="E94" s="59"/>
      <c r="F94" s="2"/>
      <c r="G94" s="2"/>
      <c r="H94" s="2"/>
      <c r="I94" s="2"/>
      <c r="J94" s="2"/>
      <c r="K94" s="2"/>
      <c r="L94" s="2"/>
      <c r="M94" s="192"/>
      <c r="N94" s="192"/>
      <c r="O94" s="192"/>
      <c r="P94" s="2"/>
      <c r="Q94" s="2"/>
      <c r="R94" s="2"/>
      <c r="S94" s="2"/>
      <c r="T94" s="2"/>
      <c r="U94" s="59"/>
      <c r="V94" s="59"/>
      <c r="W94" s="59"/>
      <c r="AJ94" s="3">
        <f t="shared" si="13"/>
        <v>0</v>
      </c>
      <c r="AK94" s="3">
        <v>89</v>
      </c>
      <c r="AL94" s="229">
        <v>273371</v>
      </c>
      <c r="AM94" s="229">
        <f t="shared" si="19"/>
        <v>32136</v>
      </c>
      <c r="AN94" s="230">
        <f t="shared" si="20"/>
        <v>0.11755453211935428</v>
      </c>
      <c r="AO94" s="3">
        <v>5.4</v>
      </c>
      <c r="AP94" s="3">
        <v>3.92</v>
      </c>
      <c r="AQ94" s="3">
        <v>4.33</v>
      </c>
      <c r="AR94" s="229">
        <v>450192</v>
      </c>
      <c r="AS94" s="229">
        <f t="shared" si="21"/>
        <v>38757</v>
      </c>
      <c r="AT94" s="232">
        <f t="shared" si="22"/>
        <v>8.6089934961083275E-2</v>
      </c>
      <c r="AU94" s="3">
        <v>6.3</v>
      </c>
    </row>
    <row r="95" spans="2:47" ht="14.25" customHeight="1" x14ac:dyDescent="0.3">
      <c r="B95" s="59"/>
      <c r="C95" s="59"/>
      <c r="D95" s="59"/>
      <c r="E95" s="59"/>
      <c r="F95" s="2"/>
      <c r="G95" s="2"/>
      <c r="H95" s="2"/>
      <c r="I95" s="2"/>
      <c r="J95" s="2"/>
      <c r="K95" s="2"/>
      <c r="L95" s="2"/>
      <c r="M95" s="201">
        <f ca="1">IF(K13&lt;0,"",IF(ISERR(M92+M93+K13-O13+O15)=TRUE,"",M92+M93+K13-O13+O15))</f>
        <v>41535532.733986653</v>
      </c>
      <c r="N95" s="192"/>
      <c r="O95" s="192"/>
      <c r="P95" s="2"/>
      <c r="Q95" s="2"/>
      <c r="R95" s="2"/>
      <c r="S95" s="2"/>
      <c r="T95" s="2"/>
      <c r="U95" s="59"/>
      <c r="V95" s="59"/>
      <c r="W95" s="59"/>
      <c r="AJ95" s="3">
        <f t="shared" si="13"/>
        <v>0</v>
      </c>
      <c r="AK95" s="3">
        <v>90</v>
      </c>
      <c r="AL95" s="229">
        <v>241235</v>
      </c>
      <c r="AM95" s="229">
        <f t="shared" si="19"/>
        <v>30844</v>
      </c>
      <c r="AN95" s="230">
        <f t="shared" si="20"/>
        <v>0.12785872696747985</v>
      </c>
      <c r="AO95" s="3">
        <v>5.0999999999999996</v>
      </c>
      <c r="AP95" s="3">
        <v>3.68</v>
      </c>
      <c r="AQ95" s="3">
        <v>4.03</v>
      </c>
      <c r="AR95" s="229">
        <v>411435</v>
      </c>
      <c r="AS95" s="229">
        <f t="shared" si="21"/>
        <v>39386</v>
      </c>
      <c r="AT95" s="232">
        <f t="shared" si="22"/>
        <v>9.5728365355402439E-2</v>
      </c>
      <c r="AU95" s="3">
        <v>5.8</v>
      </c>
    </row>
    <row r="96" spans="2:47" ht="14.25" customHeight="1" x14ac:dyDescent="0.3">
      <c r="B96" s="59"/>
      <c r="C96" s="59"/>
      <c r="D96" s="59" t="s">
        <v>43</v>
      </c>
      <c r="E96" s="59"/>
      <c r="F96" s="2"/>
      <c r="G96" s="2"/>
      <c r="H96" s="2"/>
      <c r="I96" s="2"/>
      <c r="J96" s="2"/>
      <c r="K96" s="2"/>
      <c r="L96" s="2"/>
      <c r="M96" s="192"/>
      <c r="N96" s="192"/>
      <c r="O96" s="192"/>
      <c r="P96" s="2"/>
      <c r="Q96" s="2"/>
      <c r="R96" s="2"/>
      <c r="S96" s="2"/>
      <c r="T96" s="2"/>
      <c r="U96" s="59"/>
      <c r="V96" s="59"/>
      <c r="W96" s="59"/>
      <c r="AJ96" s="3">
        <f t="shared" si="13"/>
        <v>0</v>
      </c>
      <c r="AK96" s="3">
        <v>91</v>
      </c>
      <c r="AL96" s="229">
        <v>210391</v>
      </c>
      <c r="AM96" s="229">
        <f>+AL96-AO97</f>
        <v>29239</v>
      </c>
      <c r="AN96" s="230">
        <f t="shared" si="20"/>
        <v>0.1389745759086653</v>
      </c>
      <c r="AO96" s="3">
        <v>4.8</v>
      </c>
      <c r="AP96" s="3">
        <v>3.45</v>
      </c>
      <c r="AQ96" s="3">
        <v>3.75</v>
      </c>
      <c r="AR96" s="229">
        <v>372049</v>
      </c>
      <c r="AS96" s="229">
        <f>+AR96-AU97</f>
        <v>39709</v>
      </c>
      <c r="AT96" s="232">
        <f t="shared" si="22"/>
        <v>0.10673056505997866</v>
      </c>
      <c r="AU96" s="3">
        <v>5.4</v>
      </c>
    </row>
    <row r="97" spans="2:50" ht="14.25" customHeight="1" x14ac:dyDescent="0.3">
      <c r="B97" s="59"/>
      <c r="C97" s="59"/>
      <c r="D97" s="59" t="s">
        <v>44</v>
      </c>
      <c r="E97" s="59"/>
      <c r="F97" s="2"/>
      <c r="G97" s="2"/>
      <c r="H97" s="2">
        <f>+IF(E21="","",IF(E21="LESIONADO",100,IF(E21="CONYUGE",100,IF(E21="PADRE",100,IF(E21="MADRE",100,IF(E21="HIJO",100,IF(E21="ABUELO",50,IF(E21="HERMANO",50,IF(E21="NIETO",50,IF(E21="TIO",35,IF(E21="SOBRINO",35,IF(E21="PRIMO",25,IF(E21="OTRO",15)))))))))))))</f>
        <v>100</v>
      </c>
      <c r="I97" s="2">
        <f>IF(E13="","",IF(E13&lt;5,5,IF(E13&lt;10,10,IF(E13&lt;20,20,IF(E13&lt;30,40,IF(E13&lt;40,60,IF(E13&lt;50,80,100)))))))</f>
        <v>20</v>
      </c>
      <c r="J97" s="2"/>
      <c r="K97" s="2">
        <f>+IF(ISERR(H97*$I$97/100)=TRUE,"",H97*$I$97/100)</f>
        <v>20</v>
      </c>
      <c r="L97" s="2"/>
      <c r="M97" s="202">
        <f>IF(ISERR(K97)=TRUE,"",IF(K97="","",IF($K$7="","",IF(E13=0,K15*K7,K97*K$7))))</f>
        <v>20000000</v>
      </c>
      <c r="N97" s="202"/>
      <c r="O97" s="202">
        <f>IF(ISERR(K97)=TRUE,"",IF(K97="","",IF($K$7="","",IF(E13=0,K15*K7,K97*K$7))))</f>
        <v>20000000</v>
      </c>
      <c r="P97" s="2"/>
      <c r="Q97" s="2"/>
      <c r="R97" s="203">
        <f ca="1">+IF(ISERR(M95+M97+O97)=TRUE,"",M95+M97+O97)</f>
        <v>81535532.733986646</v>
      </c>
      <c r="S97" s="2"/>
      <c r="T97" s="2"/>
      <c r="U97" s="59"/>
      <c r="V97" s="59"/>
      <c r="W97" s="59"/>
      <c r="X97" s="59"/>
      <c r="Y97" s="59"/>
      <c r="Z97" s="59"/>
      <c r="AM97" s="3">
        <f t="shared" si="13"/>
        <v>0</v>
      </c>
      <c r="AN97" s="3">
        <v>92</v>
      </c>
      <c r="AO97" s="229">
        <v>181152</v>
      </c>
      <c r="AP97" s="229">
        <f t="shared" si="19"/>
        <v>27344</v>
      </c>
      <c r="AQ97" s="230">
        <f t="shared" si="20"/>
        <v>0.1509450627097686</v>
      </c>
      <c r="AR97" s="3">
        <v>4.5</v>
      </c>
      <c r="AS97" s="3">
        <v>3.24</v>
      </c>
      <c r="AT97" s="3">
        <v>3.49</v>
      </c>
      <c r="AU97" s="229">
        <v>332340</v>
      </c>
      <c r="AV97" s="229">
        <f t="shared" si="21"/>
        <v>39700</v>
      </c>
      <c r="AW97" s="232">
        <f t="shared" si="22"/>
        <v>0.11945597881687428</v>
      </c>
      <c r="AX97" s="3">
        <v>5</v>
      </c>
    </row>
    <row r="98" spans="2:50" ht="14.25" customHeight="1" x14ac:dyDescent="0.3">
      <c r="B98" s="59"/>
      <c r="C98" s="59"/>
      <c r="D98" s="59" t="s">
        <v>45</v>
      </c>
      <c r="E98" s="59"/>
      <c r="F98" s="2"/>
      <c r="G98" s="2"/>
      <c r="H98" s="2" t="str">
        <f t="shared" ref="H98:H116" si="23">+IF(E22="","",IF(E22="LESIONADO",100,IF(E22="CONYUGE",100,IF(E22="PADRE",100,IF(E22="MADRE",100,IF(E22="HIJO",100,IF(E22="ABUELO",50,IF(E22="HERMANO",50,IF(E22="NIETO",50,IF(E22="TIO",35,IF(E22="SOBRINO",35,IF(E22="PRIMO",25,IF(E22="OTRO",15)))))))))))))</f>
        <v/>
      </c>
      <c r="I98" s="2"/>
      <c r="J98" s="2"/>
      <c r="K98" s="2" t="str">
        <f t="shared" ref="K98:K108" si="24">+IF(ISERR(H98*$I$97/100)=TRUE,"",H98*$I$97/100)</f>
        <v/>
      </c>
      <c r="L98" s="2"/>
      <c r="M98" s="202" t="str">
        <f>IF(ISERR(K98)=TRUE,"",IF(K98="","",IF($K$7="","",IF(E13=0,"",K98*K$7))))</f>
        <v/>
      </c>
      <c r="N98" s="202"/>
      <c r="O98" s="202" t="str">
        <f>IF(ISERR(K98)=TRUE,"",IF(K98="","",IF($K$7="","",IF(E13=0,"",K98*K$7))))</f>
        <v/>
      </c>
      <c r="P98" s="2"/>
      <c r="Q98" s="2"/>
      <c r="R98" s="203" t="str">
        <f t="shared" ref="R98:R115" si="25">+O98</f>
        <v/>
      </c>
      <c r="S98" s="2"/>
      <c r="T98" s="2"/>
      <c r="U98" s="59"/>
      <c r="V98" s="59"/>
      <c r="W98" s="59"/>
      <c r="X98" s="59"/>
      <c r="Y98" s="59"/>
      <c r="Z98" s="59"/>
      <c r="AM98" s="3">
        <f t="shared" si="13"/>
        <v>0</v>
      </c>
      <c r="AN98" s="3">
        <v>93</v>
      </c>
      <c r="AO98" s="229">
        <v>153808</v>
      </c>
      <c r="AP98" s="229">
        <f t="shared" si="19"/>
        <v>25199</v>
      </c>
      <c r="AQ98" s="230">
        <f t="shared" si="20"/>
        <v>0.16383413086445439</v>
      </c>
      <c r="AR98" s="3">
        <v>4.2</v>
      </c>
      <c r="AS98" s="3">
        <v>3.03</v>
      </c>
      <c r="AT98" s="3">
        <v>3.24</v>
      </c>
      <c r="AU98" s="229">
        <v>292640</v>
      </c>
      <c r="AV98" s="229">
        <f t="shared" si="21"/>
        <v>39188</v>
      </c>
      <c r="AW98" s="232">
        <f t="shared" si="22"/>
        <v>0.13391197375615091</v>
      </c>
      <c r="AX98" s="3">
        <v>4.5999999999999996</v>
      </c>
    </row>
    <row r="99" spans="2:50" ht="14.25" customHeight="1" x14ac:dyDescent="0.3">
      <c r="B99" s="59"/>
      <c r="C99" s="59"/>
      <c r="D99" s="59" t="s">
        <v>46</v>
      </c>
      <c r="E99" s="59"/>
      <c r="F99" s="2"/>
      <c r="G99" s="2"/>
      <c r="H99" s="2" t="str">
        <f t="shared" si="23"/>
        <v/>
      </c>
      <c r="I99" s="2"/>
      <c r="J99" s="2"/>
      <c r="K99" s="2" t="str">
        <f t="shared" si="24"/>
        <v/>
      </c>
      <c r="L99" s="2"/>
      <c r="M99" s="202" t="str">
        <f t="shared" ref="M99:M117" si="26">IF(ISERR(K99)=TRUE,"",IF(K99="","",IF($K$7="","",IF(E14=0,"",K99*K$7))))</f>
        <v/>
      </c>
      <c r="N99" s="202"/>
      <c r="O99" s="202" t="str">
        <f>IF(ISERR(K99)=TRUE,"",IF(K99="","",IF($K$7="","",IF(E13=0,"",K99*K$7))))</f>
        <v/>
      </c>
      <c r="P99" s="2"/>
      <c r="Q99" s="2"/>
      <c r="R99" s="203" t="str">
        <f t="shared" si="25"/>
        <v/>
      </c>
      <c r="S99" s="2"/>
      <c r="T99" s="2"/>
      <c r="U99" s="59"/>
      <c r="V99" s="59"/>
      <c r="W99" s="59"/>
      <c r="X99" s="59"/>
      <c r="Y99" s="59"/>
      <c r="Z99" s="59"/>
      <c r="AM99" s="3">
        <f t="shared" si="13"/>
        <v>0</v>
      </c>
      <c r="AN99" s="3">
        <v>94</v>
      </c>
      <c r="AO99" s="229">
        <v>128609</v>
      </c>
      <c r="AP99" s="229">
        <f t="shared" si="19"/>
        <v>22851</v>
      </c>
      <c r="AQ99" s="230">
        <f t="shared" si="20"/>
        <v>0.17767807851705558</v>
      </c>
      <c r="AR99" s="3">
        <v>3.9</v>
      </c>
      <c r="AS99" s="3">
        <v>2.84</v>
      </c>
      <c r="AT99" s="3">
        <v>3</v>
      </c>
      <c r="AU99" s="229">
        <v>253452</v>
      </c>
      <c r="AV99" s="229">
        <f t="shared" si="21"/>
        <v>38041</v>
      </c>
      <c r="AW99" s="232">
        <f t="shared" si="22"/>
        <v>0.15009153606994619</v>
      </c>
      <c r="AX99" s="3">
        <v>4.2</v>
      </c>
    </row>
    <row r="100" spans="2:50" ht="14.25" customHeight="1" x14ac:dyDescent="0.3">
      <c r="B100" s="59"/>
      <c r="C100" s="59"/>
      <c r="D100" s="59" t="s">
        <v>47</v>
      </c>
      <c r="E100" s="59"/>
      <c r="F100" s="2"/>
      <c r="G100" s="2"/>
      <c r="H100" s="2" t="str">
        <f t="shared" si="23"/>
        <v/>
      </c>
      <c r="I100" s="2"/>
      <c r="J100" s="2"/>
      <c r="K100" s="2" t="str">
        <f t="shared" si="24"/>
        <v/>
      </c>
      <c r="L100" s="2"/>
      <c r="M100" s="202" t="str">
        <f t="shared" si="26"/>
        <v/>
      </c>
      <c r="N100" s="202"/>
      <c r="O100" s="202" t="str">
        <f>IF(ISERR(K100)=TRUE,"",IF(K100="","",IF($K$7="","",IF(E13=0,"",K100*K$7))))</f>
        <v/>
      </c>
      <c r="P100" s="2"/>
      <c r="Q100" s="2"/>
      <c r="R100" s="203" t="str">
        <f t="shared" si="25"/>
        <v/>
      </c>
      <c r="S100" s="203"/>
      <c r="T100" s="2"/>
      <c r="U100" s="59"/>
      <c r="V100" s="59"/>
      <c r="W100" s="110">
        <f>+O97/$O$119</f>
        <v>1</v>
      </c>
      <c r="X100" s="59"/>
      <c r="Y100" s="59"/>
      <c r="Z100" s="60" t="str">
        <f ca="1">+IF(ISERR(W100*$K$123*$M$124*$E$11/100)=TRUE,"",W100*$K$123*$M$124*$E$11/100)</f>
        <v/>
      </c>
      <c r="AM100" s="3">
        <f t="shared" si="13"/>
        <v>0</v>
      </c>
      <c r="AN100" s="3">
        <v>95</v>
      </c>
      <c r="AO100" s="229">
        <v>105758</v>
      </c>
      <c r="AP100" s="229">
        <f t="shared" si="19"/>
        <v>20363</v>
      </c>
      <c r="AQ100" s="230">
        <f t="shared" si="20"/>
        <v>0.19254335369428319</v>
      </c>
      <c r="AR100" s="3">
        <v>3.6</v>
      </c>
      <c r="AS100" s="3">
        <v>2.65</v>
      </c>
      <c r="AT100" s="3">
        <v>2.78</v>
      </c>
      <c r="AU100" s="229">
        <v>215411</v>
      </c>
      <c r="AV100" s="229">
        <f t="shared" si="21"/>
        <v>36189</v>
      </c>
      <c r="AW100" s="232">
        <f t="shared" si="22"/>
        <v>0.1679997771701538</v>
      </c>
      <c r="AX100" s="3">
        <v>3.9</v>
      </c>
    </row>
    <row r="101" spans="2:50" ht="14.25" customHeight="1" x14ac:dyDescent="0.3">
      <c r="B101" s="59"/>
      <c r="C101" s="59"/>
      <c r="D101" s="59" t="s">
        <v>48</v>
      </c>
      <c r="E101" s="59"/>
      <c r="F101" s="2"/>
      <c r="G101" s="2"/>
      <c r="H101" s="2" t="str">
        <f t="shared" si="23"/>
        <v/>
      </c>
      <c r="I101" s="2"/>
      <c r="J101" s="2"/>
      <c r="K101" s="2" t="str">
        <f t="shared" si="24"/>
        <v/>
      </c>
      <c r="L101" s="2"/>
      <c r="M101" s="202" t="str">
        <f t="shared" si="26"/>
        <v/>
      </c>
      <c r="N101" s="202"/>
      <c r="O101" s="202" t="str">
        <f>IF(ISERR(K101)=TRUE,"",IF(K101="","",IF($K$7="","",IF(E13=0,"",K101*K$7))))</f>
        <v/>
      </c>
      <c r="P101" s="2"/>
      <c r="Q101" s="2"/>
      <c r="R101" s="203" t="str">
        <f t="shared" si="25"/>
        <v/>
      </c>
      <c r="S101" s="203"/>
      <c r="T101" s="2"/>
      <c r="U101" s="59"/>
      <c r="V101" s="59"/>
      <c r="W101" s="110" t="e">
        <f t="shared" ref="W101:W116" si="27">+O98/$O$119</f>
        <v>#VALUE!</v>
      </c>
      <c r="X101" s="59"/>
      <c r="Y101" s="59"/>
      <c r="Z101" s="60" t="str">
        <f ca="1">+IF(ISERR(W101*$K$123*$M$124*$E$11/100)=TRUE,"",W101*$K$123*$M$124*$E$11/100)</f>
        <v/>
      </c>
      <c r="AM101" s="3">
        <f t="shared" ref="AM101:AM115" si="28">IF($AC$8=AN101,IF($E$10="H",AR101,IF($E$10="M",AX101,IF($E$10="H Invalido",AS101,IF($E$10="M Invalida",AT101,0)))),0)</f>
        <v>0</v>
      </c>
      <c r="AN101" s="3">
        <v>96</v>
      </c>
      <c r="AO101" s="229">
        <v>85395</v>
      </c>
      <c r="AP101" s="229">
        <f t="shared" si="19"/>
        <v>17839</v>
      </c>
      <c r="AQ101" s="230">
        <f t="shared" si="20"/>
        <v>0.20889981849054395</v>
      </c>
      <c r="AR101" s="3">
        <v>3.3</v>
      </c>
      <c r="AS101" s="3">
        <v>2.48</v>
      </c>
      <c r="AT101" s="3">
        <v>2.58</v>
      </c>
      <c r="AU101" s="229">
        <v>179222</v>
      </c>
      <c r="AV101" s="229">
        <f t="shared" si="21"/>
        <v>33628</v>
      </c>
      <c r="AW101" s="232">
        <f t="shared" si="22"/>
        <v>0.18763321467230584</v>
      </c>
      <c r="AX101" s="3">
        <v>3.5</v>
      </c>
    </row>
    <row r="102" spans="2:50" ht="14.25" customHeight="1" x14ac:dyDescent="0.3">
      <c r="B102" s="59"/>
      <c r="C102" s="59"/>
      <c r="D102" s="59" t="s">
        <v>49</v>
      </c>
      <c r="E102" s="59"/>
      <c r="F102" s="2"/>
      <c r="G102" s="2"/>
      <c r="H102" s="2" t="str">
        <f t="shared" si="23"/>
        <v/>
      </c>
      <c r="I102" s="2"/>
      <c r="J102" s="2"/>
      <c r="K102" s="2" t="str">
        <f t="shared" si="24"/>
        <v/>
      </c>
      <c r="L102" s="2"/>
      <c r="M102" s="202" t="str">
        <f t="shared" si="26"/>
        <v/>
      </c>
      <c r="N102" s="202"/>
      <c r="O102" s="202" t="str">
        <f>IF(ISERR(K102)=TRUE,"",IF(K102="","",IF($K$7="","",IF(E13=0,"",K102*K$7))))</f>
        <v/>
      </c>
      <c r="P102" s="2"/>
      <c r="Q102" s="2"/>
      <c r="R102" s="203" t="str">
        <f t="shared" si="25"/>
        <v/>
      </c>
      <c r="S102" s="203"/>
      <c r="T102" s="2"/>
      <c r="U102" s="59"/>
      <c r="V102" s="59"/>
      <c r="W102" s="110" t="e">
        <f t="shared" si="27"/>
        <v>#VALUE!</v>
      </c>
      <c r="X102" s="59"/>
      <c r="Y102" s="59"/>
      <c r="Z102" s="60" t="str">
        <f ca="1">+IF(ISERR(W102*$K$123*$M$124*$E$11/100)=TRUE,"",W102*$K$123*$M$124*$E$11/100)</f>
        <v/>
      </c>
      <c r="AM102" s="3">
        <f t="shared" si="28"/>
        <v>0</v>
      </c>
      <c r="AN102" s="3">
        <v>97</v>
      </c>
      <c r="AO102" s="229">
        <v>67556</v>
      </c>
      <c r="AP102" s="229">
        <f t="shared" si="19"/>
        <v>15350</v>
      </c>
      <c r="AQ102" s="230">
        <f t="shared" si="20"/>
        <v>0.22721889987565871</v>
      </c>
      <c r="AR102" s="3">
        <v>3.1</v>
      </c>
      <c r="AS102" s="3">
        <v>2.3199999999999998</v>
      </c>
      <c r="AT102" s="3">
        <v>2.39</v>
      </c>
      <c r="AU102" s="229">
        <v>145594</v>
      </c>
      <c r="AV102" s="229">
        <f t="shared" si="21"/>
        <v>30428</v>
      </c>
      <c r="AW102" s="232">
        <f t="shared" si="22"/>
        <v>0.20899212879651635</v>
      </c>
      <c r="AX102" s="3">
        <v>3.2</v>
      </c>
    </row>
    <row r="103" spans="2:50" ht="14.25" customHeight="1" x14ac:dyDescent="0.3">
      <c r="B103" s="59"/>
      <c r="C103" s="59"/>
      <c r="D103" s="59" t="s">
        <v>50</v>
      </c>
      <c r="E103" s="59"/>
      <c r="F103" s="2"/>
      <c r="G103" s="2"/>
      <c r="H103" s="2" t="str">
        <f t="shared" si="23"/>
        <v/>
      </c>
      <c r="I103" s="2"/>
      <c r="J103" s="2"/>
      <c r="K103" s="2" t="str">
        <f t="shared" si="24"/>
        <v/>
      </c>
      <c r="L103" s="2"/>
      <c r="M103" s="202" t="str">
        <f t="shared" si="26"/>
        <v/>
      </c>
      <c r="N103" s="202"/>
      <c r="O103" s="202" t="str">
        <f>IF(ISERR(K103)=TRUE,"",IF(K103="","",IF($K$7="","",IF(E13=0,"",K103*K$7))))</f>
        <v/>
      </c>
      <c r="P103" s="2"/>
      <c r="Q103" s="2"/>
      <c r="R103" s="203" t="str">
        <f t="shared" si="25"/>
        <v/>
      </c>
      <c r="S103" s="203"/>
      <c r="T103" s="2"/>
      <c r="U103" s="59"/>
      <c r="V103" s="59"/>
      <c r="W103" s="110" t="e">
        <f t="shared" si="27"/>
        <v>#VALUE!</v>
      </c>
      <c r="X103" s="59"/>
      <c r="Y103" s="59"/>
      <c r="Z103" s="60" t="str">
        <f ca="1">+IF(ISERR(W103*$K$123*$M$124*$E$11/100)=TRUE,"",W103*$K$123*$M$124*$E$11/100)</f>
        <v/>
      </c>
      <c r="AM103" s="3">
        <f t="shared" si="28"/>
        <v>0</v>
      </c>
      <c r="AN103" s="3">
        <v>98</v>
      </c>
      <c r="AO103" s="229">
        <v>52206</v>
      </c>
      <c r="AP103" s="229">
        <f t="shared" si="19"/>
        <v>12921</v>
      </c>
      <c r="AQ103" s="230">
        <f t="shared" si="20"/>
        <v>0.24750028732329618</v>
      </c>
      <c r="AR103" s="3">
        <v>2.9</v>
      </c>
      <c r="AS103" s="3">
        <v>2.17</v>
      </c>
      <c r="AT103" s="3">
        <v>2.21</v>
      </c>
      <c r="AU103" s="229">
        <v>115166</v>
      </c>
      <c r="AV103" s="229">
        <f t="shared" si="21"/>
        <v>26728</v>
      </c>
      <c r="AW103" s="232">
        <f t="shared" si="22"/>
        <v>0.23208238542625428</v>
      </c>
      <c r="AX103" s="3">
        <v>3</v>
      </c>
    </row>
    <row r="104" spans="2:50" ht="14.25" customHeight="1" x14ac:dyDescent="0.3">
      <c r="B104" s="59"/>
      <c r="C104" s="59"/>
      <c r="D104" s="59" t="s">
        <v>51</v>
      </c>
      <c r="E104" s="59"/>
      <c r="F104" s="2"/>
      <c r="G104" s="2"/>
      <c r="H104" s="2" t="str">
        <f t="shared" si="23"/>
        <v/>
      </c>
      <c r="I104" s="2"/>
      <c r="J104" s="2"/>
      <c r="K104" s="2" t="str">
        <f t="shared" si="24"/>
        <v/>
      </c>
      <c r="L104" s="2"/>
      <c r="M104" s="202" t="str">
        <f t="shared" si="26"/>
        <v/>
      </c>
      <c r="N104" s="202"/>
      <c r="O104" s="202" t="str">
        <f>IF(ISERR(K104)=TRUE,"",IF(K104="","",IF($K$7="","",IF(E13=0,"",K104*K$7))))</f>
        <v/>
      </c>
      <c r="P104" s="2"/>
      <c r="Q104" s="2"/>
      <c r="R104" s="203" t="str">
        <f t="shared" si="25"/>
        <v/>
      </c>
      <c r="S104" s="203"/>
      <c r="T104" s="2"/>
      <c r="U104" s="59"/>
      <c r="V104" s="59"/>
      <c r="W104" s="110" t="e">
        <f t="shared" si="27"/>
        <v>#VALUE!</v>
      </c>
      <c r="X104" s="59"/>
      <c r="Y104" s="59"/>
      <c r="Z104" s="59"/>
      <c r="AM104" s="3">
        <f t="shared" si="28"/>
        <v>0</v>
      </c>
      <c r="AN104" s="3">
        <v>99</v>
      </c>
      <c r="AO104" s="229">
        <v>39285</v>
      </c>
      <c r="AP104" s="229">
        <f t="shared" si="19"/>
        <v>10597</v>
      </c>
      <c r="AQ104" s="230">
        <f t="shared" si="20"/>
        <v>0.26974672266768485</v>
      </c>
      <c r="AR104" s="3">
        <v>2.6</v>
      </c>
      <c r="AS104" s="3">
        <v>2.02</v>
      </c>
      <c r="AT104" s="3">
        <v>2.04</v>
      </c>
      <c r="AU104" s="229">
        <v>88438</v>
      </c>
      <c r="AV104" s="229">
        <f t="shared" si="21"/>
        <v>22719</v>
      </c>
      <c r="AW104" s="232">
        <f t="shared" si="22"/>
        <v>0.25689183382708791</v>
      </c>
      <c r="AX104" s="3">
        <v>2.7</v>
      </c>
    </row>
    <row r="105" spans="2:50" ht="14.25" customHeight="1" x14ac:dyDescent="0.3">
      <c r="B105" s="59"/>
      <c r="C105" s="59"/>
      <c r="D105" s="59" t="s">
        <v>52</v>
      </c>
      <c r="E105" s="59"/>
      <c r="F105" s="2"/>
      <c r="G105" s="2"/>
      <c r="H105" s="2" t="str">
        <f t="shared" si="23"/>
        <v/>
      </c>
      <c r="I105" s="2"/>
      <c r="J105" s="2"/>
      <c r="K105" s="2" t="str">
        <f t="shared" si="24"/>
        <v/>
      </c>
      <c r="L105" s="2"/>
      <c r="M105" s="202" t="str">
        <f t="shared" si="26"/>
        <v/>
      </c>
      <c r="N105" s="202"/>
      <c r="O105" s="202" t="str">
        <f>IF(ISERR(K105)=TRUE,"",IF(K105="","",IF($K$7="","",IF(E13=0,"",K105*K$7))))</f>
        <v/>
      </c>
      <c r="P105" s="2"/>
      <c r="Q105" s="2"/>
      <c r="R105" s="203" t="str">
        <f t="shared" si="25"/>
        <v/>
      </c>
      <c r="S105" s="203"/>
      <c r="T105" s="2"/>
      <c r="U105" s="59"/>
      <c r="V105" s="59"/>
      <c r="W105" s="110" t="e">
        <f t="shared" si="27"/>
        <v>#VALUE!</v>
      </c>
      <c r="X105" s="59"/>
      <c r="Y105" s="59"/>
      <c r="Z105" s="60" t="str">
        <f ca="1">+IF(SUM(Z100:Z103)=0,"",SUM(Z100:Z103))</f>
        <v/>
      </c>
      <c r="AM105" s="3">
        <f t="shared" si="28"/>
        <v>0</v>
      </c>
      <c r="AN105" s="3">
        <v>100</v>
      </c>
      <c r="AO105" s="229">
        <v>28688</v>
      </c>
      <c r="AP105" s="229">
        <f t="shared" si="19"/>
        <v>8433</v>
      </c>
      <c r="AQ105" s="230">
        <f t="shared" si="20"/>
        <v>0.29395566090351366</v>
      </c>
      <c r="AR105" s="3">
        <v>2.4</v>
      </c>
      <c r="AS105" s="3">
        <v>1.89</v>
      </c>
      <c r="AT105" s="3">
        <v>1.88</v>
      </c>
      <c r="AU105" s="229">
        <v>65719</v>
      </c>
      <c r="AV105" s="229">
        <f t="shared" si="21"/>
        <v>18627</v>
      </c>
      <c r="AW105" s="232">
        <f t="shared" si="22"/>
        <v>0.28343401451634992</v>
      </c>
      <c r="AX105" s="3">
        <v>2.5</v>
      </c>
    </row>
    <row r="106" spans="2:50" ht="14.25" customHeight="1" x14ac:dyDescent="0.3">
      <c r="B106" s="59"/>
      <c r="C106" s="59"/>
      <c r="D106" s="59" t="s">
        <v>53</v>
      </c>
      <c r="E106" s="59"/>
      <c r="F106" s="2"/>
      <c r="G106" s="2"/>
      <c r="H106" s="2" t="str">
        <f t="shared" si="23"/>
        <v/>
      </c>
      <c r="I106" s="2"/>
      <c r="J106" s="2"/>
      <c r="K106" s="2" t="str">
        <f t="shared" si="24"/>
        <v/>
      </c>
      <c r="L106" s="2"/>
      <c r="M106" s="202" t="str">
        <f t="shared" si="26"/>
        <v/>
      </c>
      <c r="N106" s="202"/>
      <c r="O106" s="202" t="str">
        <f>IF(ISERR(K106)=TRUE,"",IF(K106="","",IF($K$7="","",IF(E13=0,"",K106*K$7))))</f>
        <v/>
      </c>
      <c r="P106" s="2"/>
      <c r="Q106" s="2"/>
      <c r="R106" s="203" t="str">
        <f t="shared" si="25"/>
        <v/>
      </c>
      <c r="S106" s="203"/>
      <c r="T106" s="2"/>
      <c r="U106" s="59"/>
      <c r="V106" s="59"/>
      <c r="W106" s="110" t="e">
        <f t="shared" si="27"/>
        <v>#VALUE!</v>
      </c>
      <c r="X106" s="59"/>
      <c r="Y106" s="59"/>
      <c r="Z106" s="59"/>
      <c r="AM106" s="3">
        <f t="shared" si="28"/>
        <v>0</v>
      </c>
      <c r="AN106" s="3">
        <v>101</v>
      </c>
      <c r="AO106" s="229">
        <v>20255</v>
      </c>
      <c r="AP106" s="229">
        <f t="shared" si="19"/>
        <v>6484</v>
      </c>
      <c r="AQ106" s="230">
        <f t="shared" si="20"/>
        <v>0.32011848926191067</v>
      </c>
      <c r="AR106" s="3">
        <v>2.2000000000000002</v>
      </c>
      <c r="AS106" s="3">
        <v>1.76</v>
      </c>
      <c r="AT106" s="3">
        <v>1.74</v>
      </c>
      <c r="AU106" s="229">
        <v>47092</v>
      </c>
      <c r="AV106" s="229">
        <f t="shared" si="21"/>
        <v>14679</v>
      </c>
      <c r="AW106" s="232">
        <f t="shared" si="22"/>
        <v>0.31170899515841333</v>
      </c>
      <c r="AX106" s="3">
        <v>2.2999999999999998</v>
      </c>
    </row>
    <row r="107" spans="2:50" ht="14.25" customHeight="1" x14ac:dyDescent="0.3">
      <c r="B107" s="59"/>
      <c r="C107" s="59"/>
      <c r="D107" s="59" t="s">
        <v>397</v>
      </c>
      <c r="E107" s="59"/>
      <c r="F107" s="59"/>
      <c r="G107" s="59"/>
      <c r="H107" s="59" t="str">
        <f t="shared" si="23"/>
        <v/>
      </c>
      <c r="I107" s="59"/>
      <c r="J107" s="59"/>
      <c r="K107" s="59" t="str">
        <f t="shared" si="24"/>
        <v/>
      </c>
      <c r="L107" s="59"/>
      <c r="M107" s="191" t="str">
        <f t="shared" si="26"/>
        <v/>
      </c>
      <c r="N107" s="191"/>
      <c r="O107" s="191" t="str">
        <f>IF(ISERR(K107)=TRUE,"",IF(K107="","",IF($K$7="","",IF(E13=0,"",K107*K$7))))</f>
        <v/>
      </c>
      <c r="P107" s="46"/>
      <c r="Q107" s="46"/>
      <c r="R107" s="109" t="str">
        <f t="shared" si="25"/>
        <v/>
      </c>
      <c r="S107" s="109"/>
      <c r="T107" s="59"/>
      <c r="U107" s="59"/>
      <c r="V107" s="59"/>
      <c r="W107" s="110" t="e">
        <f t="shared" si="27"/>
        <v>#VALUE!</v>
      </c>
      <c r="X107" s="59"/>
      <c r="Y107" s="59"/>
      <c r="Z107" s="59"/>
      <c r="AM107" s="3">
        <f t="shared" si="28"/>
        <v>0</v>
      </c>
      <c r="AN107" s="3">
        <v>102</v>
      </c>
      <c r="AO107" s="229">
        <v>13771</v>
      </c>
      <c r="AP107" s="229">
        <f t="shared" si="19"/>
        <v>4796</v>
      </c>
      <c r="AQ107" s="230">
        <f t="shared" si="20"/>
        <v>0.34826809962965655</v>
      </c>
      <c r="AR107" s="3">
        <v>2.1</v>
      </c>
      <c r="AS107" s="3">
        <v>1.65</v>
      </c>
      <c r="AT107" s="3">
        <v>1.61</v>
      </c>
      <c r="AU107" s="229">
        <v>32413</v>
      </c>
      <c r="AV107" s="229">
        <f t="shared" si="21"/>
        <v>11075</v>
      </c>
      <c r="AW107" s="232">
        <f t="shared" si="22"/>
        <v>0.34168389226544904</v>
      </c>
      <c r="AX107" s="3">
        <v>2.1</v>
      </c>
    </row>
    <row r="108" spans="2:50" ht="14.25" customHeight="1" x14ac:dyDescent="0.3">
      <c r="B108" s="59"/>
      <c r="C108" s="59"/>
      <c r="D108" s="59"/>
      <c r="E108" s="59"/>
      <c r="F108" s="59"/>
      <c r="G108" s="59"/>
      <c r="H108" s="59" t="str">
        <f t="shared" si="23"/>
        <v/>
      </c>
      <c r="I108" s="59"/>
      <c r="J108" s="59"/>
      <c r="K108" s="59" t="str">
        <f t="shared" si="24"/>
        <v/>
      </c>
      <c r="L108" s="59"/>
      <c r="M108" s="191" t="str">
        <f t="shared" si="26"/>
        <v/>
      </c>
      <c r="N108" s="191"/>
      <c r="O108" s="191" t="str">
        <f t="shared" ref="O108:O116" si="29">IF(ISERR(K108)=TRUE,"",IF(K108="","",IF($K$7="","",IF($E$13=0,"",K108*K$7))))</f>
        <v/>
      </c>
      <c r="P108" s="46"/>
      <c r="Q108" s="46"/>
      <c r="R108" s="109" t="str">
        <f t="shared" si="25"/>
        <v/>
      </c>
      <c r="S108" s="109"/>
      <c r="T108" s="59"/>
      <c r="U108" s="59"/>
      <c r="V108" s="59"/>
      <c r="W108" s="110" t="e">
        <f t="shared" si="27"/>
        <v>#VALUE!</v>
      </c>
      <c r="X108" s="59"/>
      <c r="Y108" s="59"/>
      <c r="Z108" s="59"/>
      <c r="AM108" s="3">
        <f t="shared" si="28"/>
        <v>0</v>
      </c>
      <c r="AN108" s="3">
        <v>103</v>
      </c>
      <c r="AO108" s="229">
        <v>8975</v>
      </c>
      <c r="AP108" s="229">
        <f t="shared" si="19"/>
        <v>3395</v>
      </c>
      <c r="AQ108" s="230">
        <f t="shared" si="20"/>
        <v>0.37827298050139274</v>
      </c>
      <c r="AR108" s="3">
        <v>1.9</v>
      </c>
      <c r="AS108" s="3">
        <v>1.54</v>
      </c>
      <c r="AT108" s="3">
        <v>1.49</v>
      </c>
      <c r="AU108" s="229">
        <v>21338</v>
      </c>
      <c r="AV108" s="229">
        <f t="shared" si="21"/>
        <v>7968</v>
      </c>
      <c r="AW108" s="232">
        <f t="shared" si="22"/>
        <v>0.37341831474364984</v>
      </c>
      <c r="AX108" s="3">
        <v>1.9</v>
      </c>
    </row>
    <row r="109" spans="2:50" ht="14.25" customHeight="1" x14ac:dyDescent="0.3">
      <c r="B109" s="59"/>
      <c r="C109" s="59"/>
      <c r="D109" s="59"/>
      <c r="E109" s="59"/>
      <c r="F109" s="59"/>
      <c r="G109" s="59"/>
      <c r="H109" s="59" t="str">
        <f t="shared" si="23"/>
        <v/>
      </c>
      <c r="I109" s="59"/>
      <c r="J109" s="59"/>
      <c r="K109" s="59" t="str">
        <f t="shared" ref="K109:K116" si="30">+IF(ISERR(H109*$I$97/100)=TRUE,"",H109*$I$97/100)</f>
        <v/>
      </c>
      <c r="L109" s="59"/>
      <c r="M109" s="191" t="str">
        <f t="shared" si="26"/>
        <v/>
      </c>
      <c r="N109" s="191"/>
      <c r="O109" s="191" t="str">
        <f t="shared" si="29"/>
        <v/>
      </c>
      <c r="P109" s="46"/>
      <c r="Q109" s="46"/>
      <c r="R109" s="109" t="str">
        <f t="shared" si="25"/>
        <v/>
      </c>
      <c r="S109" s="109"/>
      <c r="T109" s="59"/>
      <c r="U109" s="59"/>
      <c r="V109" s="59"/>
      <c r="W109" s="110" t="e">
        <f t="shared" si="27"/>
        <v>#VALUE!</v>
      </c>
      <c r="X109" s="59"/>
      <c r="Y109" s="59"/>
      <c r="Z109" s="59"/>
      <c r="AM109" s="3">
        <f t="shared" si="28"/>
        <v>0</v>
      </c>
      <c r="AN109" s="3">
        <v>104</v>
      </c>
      <c r="AO109" s="229">
        <v>5580</v>
      </c>
      <c r="AP109" s="229">
        <f t="shared" si="19"/>
        <v>2290</v>
      </c>
      <c r="AQ109" s="230">
        <f t="shared" si="20"/>
        <v>0.4103942652329749</v>
      </c>
      <c r="AR109" s="3">
        <v>1.7</v>
      </c>
      <c r="AS109" s="3">
        <v>1.43</v>
      </c>
      <c r="AT109" s="3">
        <v>1.37</v>
      </c>
      <c r="AU109" s="229">
        <v>13370</v>
      </c>
      <c r="AV109" s="229">
        <f t="shared" si="21"/>
        <v>5440</v>
      </c>
      <c r="AW109" s="232">
        <f t="shared" si="22"/>
        <v>0.40688107703814508</v>
      </c>
      <c r="AX109" s="3">
        <v>1.7</v>
      </c>
    </row>
    <row r="110" spans="2:50" ht="14.25" customHeight="1" x14ac:dyDescent="0.3">
      <c r="B110" s="59"/>
      <c r="C110" s="59"/>
      <c r="D110" s="59"/>
      <c r="E110" s="59"/>
      <c r="F110" s="59"/>
      <c r="G110" s="59"/>
      <c r="H110" s="59" t="str">
        <f t="shared" si="23"/>
        <v/>
      </c>
      <c r="I110" s="59"/>
      <c r="J110" s="59"/>
      <c r="K110" s="59" t="str">
        <f t="shared" si="30"/>
        <v/>
      </c>
      <c r="L110" s="59"/>
      <c r="M110" s="191" t="str">
        <f t="shared" si="26"/>
        <v/>
      </c>
      <c r="N110" s="191"/>
      <c r="O110" s="191" t="str">
        <f t="shared" si="29"/>
        <v/>
      </c>
      <c r="P110" s="46"/>
      <c r="Q110" s="46"/>
      <c r="R110" s="109" t="str">
        <f t="shared" si="25"/>
        <v/>
      </c>
      <c r="S110" s="109"/>
      <c r="T110" s="59"/>
      <c r="U110" s="59"/>
      <c r="V110" s="59"/>
      <c r="W110" s="110" t="e">
        <f t="shared" si="27"/>
        <v>#VALUE!</v>
      </c>
      <c r="X110" s="59"/>
      <c r="Y110" s="59"/>
      <c r="Z110" s="59"/>
      <c r="AM110" s="3">
        <f t="shared" si="28"/>
        <v>0</v>
      </c>
      <c r="AN110" s="3">
        <v>105</v>
      </c>
      <c r="AO110" s="229">
        <v>3290</v>
      </c>
      <c r="AP110" s="229">
        <f t="shared" si="19"/>
        <v>1462</v>
      </c>
      <c r="AQ110" s="230">
        <f t="shared" si="20"/>
        <v>0.44437689969604866</v>
      </c>
      <c r="AR110" s="3">
        <v>1.6</v>
      </c>
      <c r="AS110" s="3">
        <v>1.34</v>
      </c>
      <c r="AT110" s="3">
        <v>1.27</v>
      </c>
      <c r="AU110" s="229">
        <v>7930</v>
      </c>
      <c r="AV110" s="229">
        <f t="shared" si="21"/>
        <v>3505</v>
      </c>
      <c r="AW110" s="232">
        <f t="shared" si="22"/>
        <v>0.44199243379571246</v>
      </c>
      <c r="AX110" s="3">
        <v>1.6</v>
      </c>
    </row>
    <row r="111" spans="2:50" ht="14.25" customHeight="1" x14ac:dyDescent="0.3">
      <c r="B111" s="59"/>
      <c r="C111" s="59"/>
      <c r="D111" s="59"/>
      <c r="E111" s="59"/>
      <c r="F111" s="59"/>
      <c r="G111" s="59"/>
      <c r="H111" s="59" t="str">
        <f t="shared" si="23"/>
        <v/>
      </c>
      <c r="I111" s="59"/>
      <c r="J111" s="59"/>
      <c r="K111" s="59" t="str">
        <f t="shared" si="30"/>
        <v/>
      </c>
      <c r="L111" s="59"/>
      <c r="M111" s="191" t="str">
        <f t="shared" si="26"/>
        <v/>
      </c>
      <c r="N111" s="191"/>
      <c r="O111" s="191" t="str">
        <f t="shared" si="29"/>
        <v/>
      </c>
      <c r="P111" s="46"/>
      <c r="Q111" s="46"/>
      <c r="R111" s="109" t="str">
        <f t="shared" si="25"/>
        <v/>
      </c>
      <c r="S111" s="109"/>
      <c r="T111" s="59"/>
      <c r="U111" s="59"/>
      <c r="V111" s="59"/>
      <c r="W111" s="110" t="e">
        <f t="shared" si="27"/>
        <v>#VALUE!</v>
      </c>
      <c r="X111" s="59"/>
      <c r="Y111" s="59"/>
      <c r="Z111" s="59"/>
      <c r="AM111" s="3">
        <f t="shared" si="28"/>
        <v>0</v>
      </c>
      <c r="AN111" s="3">
        <v>106</v>
      </c>
      <c r="AO111" s="229">
        <v>1828</v>
      </c>
      <c r="AP111" s="229">
        <f t="shared" si="19"/>
        <v>878</v>
      </c>
      <c r="AQ111" s="230">
        <f t="shared" si="20"/>
        <v>0.4803063457330416</v>
      </c>
      <c r="AR111" s="3">
        <v>1.4</v>
      </c>
      <c r="AS111" s="3">
        <v>1.26</v>
      </c>
      <c r="AT111" s="3">
        <v>1.1599999999999999</v>
      </c>
      <c r="AU111" s="229">
        <v>4425</v>
      </c>
      <c r="AV111" s="229">
        <f t="shared" si="21"/>
        <v>2119</v>
      </c>
      <c r="AW111" s="232">
        <f t="shared" si="22"/>
        <v>0.47887005649717512</v>
      </c>
      <c r="AX111" s="3">
        <v>1.4</v>
      </c>
    </row>
    <row r="112" spans="2:50" ht="14.25" customHeight="1" x14ac:dyDescent="0.3">
      <c r="B112" s="59"/>
      <c r="C112" s="59"/>
      <c r="D112" s="59"/>
      <c r="E112" s="59"/>
      <c r="F112" s="59"/>
      <c r="G112" s="59"/>
      <c r="H112" s="59" t="str">
        <f t="shared" si="23"/>
        <v/>
      </c>
      <c r="I112" s="59"/>
      <c r="J112" s="59"/>
      <c r="K112" s="59" t="str">
        <f t="shared" si="30"/>
        <v/>
      </c>
      <c r="L112" s="59"/>
      <c r="M112" s="191" t="str">
        <f t="shared" si="26"/>
        <v/>
      </c>
      <c r="N112" s="191"/>
      <c r="O112" s="191" t="str">
        <f t="shared" si="29"/>
        <v/>
      </c>
      <c r="P112" s="46"/>
      <c r="Q112" s="46"/>
      <c r="R112" s="109" t="str">
        <f t="shared" si="25"/>
        <v/>
      </c>
      <c r="S112" s="109"/>
      <c r="T112" s="59"/>
      <c r="U112" s="59"/>
      <c r="V112" s="59"/>
      <c r="W112" s="110" t="e">
        <f t="shared" si="27"/>
        <v>#VALUE!</v>
      </c>
      <c r="X112" s="59"/>
      <c r="Y112" s="59"/>
      <c r="Z112" s="59"/>
      <c r="AM112" s="3">
        <f t="shared" si="28"/>
        <v>0</v>
      </c>
      <c r="AN112" s="3">
        <v>107</v>
      </c>
      <c r="AO112" s="229">
        <v>950</v>
      </c>
      <c r="AP112" s="229">
        <f t="shared" si="19"/>
        <v>492</v>
      </c>
      <c r="AQ112" s="230">
        <f t="shared" si="20"/>
        <v>0.5178947368421053</v>
      </c>
      <c r="AR112" s="3">
        <v>1.3</v>
      </c>
      <c r="AS112" s="3">
        <v>1.19</v>
      </c>
      <c r="AT112" s="3">
        <v>1.07</v>
      </c>
      <c r="AU112" s="229">
        <v>2306</v>
      </c>
      <c r="AV112" s="229">
        <f t="shared" si="21"/>
        <v>1194</v>
      </c>
      <c r="AW112" s="232">
        <f t="shared" si="22"/>
        <v>0.51777970511708582</v>
      </c>
      <c r="AX112" s="3">
        <v>1.3</v>
      </c>
    </row>
    <row r="113" spans="2:50" ht="14.25" customHeight="1" x14ac:dyDescent="0.3">
      <c r="B113" s="59"/>
      <c r="C113" s="59"/>
      <c r="D113" s="59"/>
      <c r="E113" s="59"/>
      <c r="F113" s="59"/>
      <c r="G113" s="59"/>
      <c r="H113" s="59" t="str">
        <f t="shared" si="23"/>
        <v/>
      </c>
      <c r="I113" s="59"/>
      <c r="J113" s="59"/>
      <c r="K113" s="59" t="str">
        <f t="shared" si="30"/>
        <v/>
      </c>
      <c r="L113" s="59"/>
      <c r="M113" s="191" t="str">
        <f t="shared" si="26"/>
        <v/>
      </c>
      <c r="N113" s="191"/>
      <c r="O113" s="191" t="str">
        <f t="shared" si="29"/>
        <v/>
      </c>
      <c r="P113" s="46"/>
      <c r="Q113" s="46"/>
      <c r="R113" s="109" t="str">
        <f t="shared" si="25"/>
        <v/>
      </c>
      <c r="S113" s="59"/>
      <c r="T113" s="59"/>
      <c r="U113" s="59"/>
      <c r="V113" s="59"/>
      <c r="W113" s="110" t="e">
        <f t="shared" si="27"/>
        <v>#VALUE!</v>
      </c>
      <c r="X113" s="59"/>
      <c r="Y113" s="59"/>
      <c r="Z113" s="59"/>
      <c r="AM113" s="3">
        <f t="shared" si="28"/>
        <v>0</v>
      </c>
      <c r="AN113" s="3">
        <v>108</v>
      </c>
      <c r="AO113" s="229">
        <v>458</v>
      </c>
      <c r="AP113" s="229">
        <f t="shared" si="19"/>
        <v>256</v>
      </c>
      <c r="AQ113" s="230">
        <f t="shared" si="20"/>
        <v>0.55895196506550215</v>
      </c>
      <c r="AR113" s="3">
        <v>1.1000000000000001</v>
      </c>
      <c r="AS113" s="3">
        <v>1</v>
      </c>
      <c r="AT113" s="3">
        <v>0.97</v>
      </c>
      <c r="AU113" s="229">
        <v>1112</v>
      </c>
      <c r="AV113" s="229">
        <f t="shared" si="21"/>
        <v>620</v>
      </c>
      <c r="AW113" s="232">
        <f t="shared" si="22"/>
        <v>0.55755395683453235</v>
      </c>
      <c r="AX113" s="3">
        <v>1.1000000000000001</v>
      </c>
    </row>
    <row r="114" spans="2:50" ht="14.25" customHeight="1" x14ac:dyDescent="0.3">
      <c r="B114" s="59"/>
      <c r="C114" s="59"/>
      <c r="D114" s="59"/>
      <c r="E114" s="59"/>
      <c r="F114" s="59"/>
      <c r="G114" s="59"/>
      <c r="H114" s="59" t="str">
        <f t="shared" si="23"/>
        <v/>
      </c>
      <c r="I114" s="59"/>
      <c r="J114" s="59"/>
      <c r="K114" s="59" t="str">
        <f t="shared" si="30"/>
        <v/>
      </c>
      <c r="L114" s="59"/>
      <c r="M114" s="191" t="str">
        <f t="shared" si="26"/>
        <v/>
      </c>
      <c r="N114" s="191"/>
      <c r="O114" s="191" t="str">
        <f t="shared" si="29"/>
        <v/>
      </c>
      <c r="P114" s="46"/>
      <c r="Q114" s="46"/>
      <c r="R114" s="109" t="str">
        <f t="shared" si="25"/>
        <v/>
      </c>
      <c r="S114" s="59"/>
      <c r="T114" s="59"/>
      <c r="U114" s="59"/>
      <c r="V114" s="59"/>
      <c r="W114" s="110" t="e">
        <f t="shared" si="27"/>
        <v>#VALUE!</v>
      </c>
      <c r="X114" s="59"/>
      <c r="Y114" s="59"/>
      <c r="Z114" s="59"/>
      <c r="AM114" s="3">
        <f t="shared" si="28"/>
        <v>0</v>
      </c>
      <c r="AN114" s="3">
        <v>109</v>
      </c>
      <c r="AO114" s="229">
        <v>202</v>
      </c>
      <c r="AP114" s="229">
        <f t="shared" si="19"/>
        <v>121</v>
      </c>
      <c r="AQ114" s="230">
        <f t="shared" si="20"/>
        <v>0.59900990099009899</v>
      </c>
      <c r="AR114" s="3">
        <v>0.9</v>
      </c>
      <c r="AS114" s="3">
        <v>1</v>
      </c>
      <c r="AT114" s="3">
        <v>0.83</v>
      </c>
      <c r="AU114" s="229">
        <v>492</v>
      </c>
      <c r="AV114" s="229">
        <f t="shared" si="21"/>
        <v>295</v>
      </c>
      <c r="AW114" s="232">
        <f>+AV114/AU114</f>
        <v>0.59959349593495936</v>
      </c>
      <c r="AX114" s="3">
        <v>0.9</v>
      </c>
    </row>
    <row r="115" spans="2:50" ht="14.25" customHeight="1" x14ac:dyDescent="0.3">
      <c r="B115" s="59"/>
      <c r="C115" s="59"/>
      <c r="D115" s="59"/>
      <c r="E115" s="59"/>
      <c r="F115" s="59"/>
      <c r="G115" s="59"/>
      <c r="H115" s="59" t="str">
        <f t="shared" si="23"/>
        <v/>
      </c>
      <c r="I115" s="59"/>
      <c r="J115" s="59"/>
      <c r="K115" s="59" t="str">
        <f t="shared" si="30"/>
        <v/>
      </c>
      <c r="L115" s="59"/>
      <c r="M115" s="191" t="str">
        <f t="shared" si="26"/>
        <v/>
      </c>
      <c r="N115" s="191"/>
      <c r="O115" s="191" t="str">
        <f t="shared" si="29"/>
        <v/>
      </c>
      <c r="P115" s="46"/>
      <c r="Q115" s="46"/>
      <c r="R115" s="109" t="str">
        <f t="shared" si="25"/>
        <v/>
      </c>
      <c r="S115" s="59"/>
      <c r="T115" s="59"/>
      <c r="U115" s="59"/>
      <c r="V115" s="59"/>
      <c r="W115" s="110" t="e">
        <f t="shared" si="27"/>
        <v>#VALUE!</v>
      </c>
      <c r="X115" s="59"/>
      <c r="Y115" s="59"/>
      <c r="Z115" s="59"/>
      <c r="AM115" s="3">
        <f t="shared" si="28"/>
        <v>0</v>
      </c>
      <c r="AN115" s="3">
        <v>110</v>
      </c>
      <c r="AO115" s="229">
        <v>81</v>
      </c>
      <c r="AP115" s="229">
        <f t="shared" si="19"/>
        <v>81</v>
      </c>
      <c r="AQ115" s="230">
        <f t="shared" si="20"/>
        <v>1</v>
      </c>
      <c r="AR115" s="3">
        <v>0.5</v>
      </c>
      <c r="AU115" s="229">
        <v>197</v>
      </c>
      <c r="AV115" s="229">
        <f t="shared" si="21"/>
        <v>197</v>
      </c>
      <c r="AW115" s="232">
        <f t="shared" si="22"/>
        <v>1</v>
      </c>
      <c r="AX115" s="3">
        <v>0.5</v>
      </c>
    </row>
    <row r="116" spans="2:50" ht="14.25" customHeight="1" x14ac:dyDescent="0.3">
      <c r="B116" s="59"/>
      <c r="C116" s="59"/>
      <c r="D116" s="59"/>
      <c r="E116" s="59"/>
      <c r="F116" s="59"/>
      <c r="G116" s="59"/>
      <c r="H116" s="59" t="str">
        <f t="shared" si="23"/>
        <v/>
      </c>
      <c r="I116" s="59"/>
      <c r="J116" s="59"/>
      <c r="K116" s="59" t="str">
        <f t="shared" si="30"/>
        <v/>
      </c>
      <c r="L116" s="59"/>
      <c r="M116" s="191" t="str">
        <f t="shared" si="26"/>
        <v/>
      </c>
      <c r="N116" s="191"/>
      <c r="O116" s="191" t="str">
        <f t="shared" si="29"/>
        <v/>
      </c>
      <c r="P116" s="46"/>
      <c r="Q116" s="46"/>
      <c r="R116" s="109"/>
      <c r="S116" s="59"/>
      <c r="T116" s="59"/>
      <c r="U116" s="59"/>
      <c r="V116" s="59"/>
      <c r="W116" s="110" t="e">
        <f t="shared" si="27"/>
        <v>#VALUE!</v>
      </c>
      <c r="X116" s="59"/>
      <c r="Y116" s="59"/>
      <c r="Z116" s="59"/>
    </row>
    <row r="117" spans="2:50" ht="14.25" customHeight="1" x14ac:dyDescent="0.3">
      <c r="B117" s="59"/>
      <c r="C117" s="59"/>
      <c r="D117" s="59"/>
      <c r="E117" s="59"/>
      <c r="F117" s="59"/>
      <c r="G117" s="59"/>
      <c r="H117" s="59"/>
      <c r="I117" s="59"/>
      <c r="J117" s="59"/>
      <c r="K117" s="59"/>
      <c r="L117" s="59"/>
      <c r="M117" s="191" t="str">
        <f t="shared" si="26"/>
        <v/>
      </c>
      <c r="N117" s="191"/>
      <c r="O117" s="191"/>
      <c r="P117" s="46"/>
      <c r="Q117" s="46"/>
      <c r="R117" s="109"/>
      <c r="S117" s="59"/>
      <c r="T117" s="59"/>
      <c r="U117" s="59"/>
      <c r="V117" s="59"/>
      <c r="W117" s="59"/>
      <c r="X117" s="59"/>
      <c r="Y117" s="59"/>
      <c r="Z117" s="59"/>
    </row>
    <row r="118" spans="2:50" ht="14.25" customHeight="1" x14ac:dyDescent="0.3">
      <c r="B118" s="59"/>
      <c r="C118" s="59"/>
      <c r="D118" s="59"/>
      <c r="E118" s="59"/>
      <c r="F118" s="59"/>
      <c r="G118" s="59"/>
      <c r="H118" s="59"/>
      <c r="I118" s="59"/>
      <c r="J118" s="59"/>
      <c r="K118" s="59"/>
      <c r="L118" s="59"/>
      <c r="M118" s="186"/>
      <c r="N118" s="186"/>
      <c r="O118" s="186"/>
      <c r="P118" s="46"/>
      <c r="Q118" s="46"/>
      <c r="R118" s="59"/>
      <c r="S118" s="109"/>
      <c r="T118" s="59"/>
      <c r="U118" s="59"/>
      <c r="V118" s="59"/>
      <c r="W118" s="59"/>
      <c r="X118" s="59"/>
      <c r="Y118" s="59"/>
      <c r="Z118" s="59"/>
    </row>
    <row r="119" spans="2:50" ht="14.25" customHeight="1" x14ac:dyDescent="0.3">
      <c r="B119" s="59"/>
      <c r="C119" s="59"/>
      <c r="D119" s="59"/>
      <c r="E119" s="59"/>
      <c r="F119" s="59"/>
      <c r="G119" s="59"/>
      <c r="H119" s="59"/>
      <c r="I119" s="59"/>
      <c r="J119" s="59"/>
      <c r="K119" s="109">
        <f ca="1">+M95</f>
        <v>41535532.733986653</v>
      </c>
      <c r="L119" s="109"/>
      <c r="M119" s="191">
        <f>+IF(SUM(M97:M112)=0,"",SUM(M97:M112))</f>
        <v>20000000</v>
      </c>
      <c r="N119" s="191"/>
      <c r="O119" s="191">
        <f>+IF(SUM(O97:O112)=0,"",SUM(O97:O112))</f>
        <v>20000000</v>
      </c>
      <c r="P119" s="128"/>
      <c r="Q119" s="128"/>
      <c r="R119" s="109">
        <f ca="1">+IF(SUM(R97:R112)=0,"",SUM(R97:R112))</f>
        <v>81535532.733986646</v>
      </c>
      <c r="S119" s="59"/>
      <c r="T119" s="59"/>
      <c r="U119" s="59"/>
      <c r="V119" s="59"/>
      <c r="W119" s="59"/>
      <c r="X119" s="59"/>
      <c r="Y119" s="59"/>
      <c r="Z119" s="59"/>
      <c r="AN119" s="3">
        <v>1</v>
      </c>
    </row>
    <row r="120" spans="2:50" ht="14.25" customHeight="1" x14ac:dyDescent="0.3">
      <c r="B120" s="59"/>
      <c r="C120" s="59"/>
      <c r="D120" s="59"/>
      <c r="E120" s="59"/>
      <c r="F120" s="59"/>
      <c r="G120" s="59"/>
      <c r="H120" s="59"/>
      <c r="I120" s="59"/>
      <c r="J120" s="59"/>
      <c r="K120" s="59"/>
      <c r="L120" s="59"/>
      <c r="M120" s="186"/>
      <c r="N120" s="186"/>
      <c r="O120" s="186"/>
      <c r="P120" s="46"/>
      <c r="Q120" s="46"/>
      <c r="R120" s="59"/>
      <c r="S120" s="59"/>
      <c r="T120" s="59"/>
      <c r="U120" s="59"/>
      <c r="V120" s="59"/>
      <c r="W120" s="59"/>
      <c r="AK120" s="3">
        <v>2</v>
      </c>
    </row>
    <row r="121" spans="2:50" ht="14.25" customHeight="1" x14ac:dyDescent="0.3">
      <c r="B121" s="59"/>
      <c r="C121" s="59"/>
      <c r="D121" s="59"/>
      <c r="E121" s="59"/>
      <c r="F121" s="59"/>
      <c r="G121" s="59"/>
      <c r="H121" s="59"/>
      <c r="I121" s="59"/>
      <c r="J121" s="59"/>
      <c r="K121" s="59"/>
      <c r="L121" s="59"/>
      <c r="M121" s="186"/>
      <c r="N121" s="186"/>
      <c r="O121" s="186"/>
      <c r="P121" s="129"/>
      <c r="Q121" s="46"/>
      <c r="R121" s="59"/>
      <c r="S121" s="59"/>
      <c r="T121" s="59"/>
      <c r="U121" s="59"/>
      <c r="V121" s="59"/>
      <c r="W121" s="59"/>
      <c r="AK121" s="3">
        <v>3</v>
      </c>
    </row>
    <row r="122" spans="2:50" ht="14.25" customHeight="1" x14ac:dyDescent="0.3">
      <c r="B122" s="59"/>
      <c r="C122" s="59"/>
      <c r="D122" s="59"/>
      <c r="E122" s="59" t="s">
        <v>54</v>
      </c>
      <c r="F122" s="59"/>
      <c r="G122" s="59"/>
      <c r="H122" s="59"/>
      <c r="I122" s="59"/>
      <c r="J122" s="59"/>
      <c r="K122" s="60" t="e">
        <f ca="1">IF(K119="","",IF(K119&lt;M74,K119,M74))</f>
        <v>#REF!</v>
      </c>
      <c r="L122" s="59"/>
      <c r="M122" s="186" t="e">
        <f ca="1">+IF(K125&lt;I85,I85,K125)</f>
        <v>#REF!</v>
      </c>
      <c r="N122" s="186"/>
      <c r="O122" s="190" t="str">
        <f ca="1">+IF(ISERR(K122*M124*E11/100)=TRUE,"",K122*M124*E11/100)</f>
        <v/>
      </c>
      <c r="P122" s="46"/>
      <c r="Q122" s="46"/>
      <c r="R122" s="59"/>
      <c r="S122" s="59"/>
      <c r="T122" s="59"/>
      <c r="U122" s="59"/>
      <c r="V122" s="59"/>
      <c r="W122" s="59"/>
      <c r="AK122" s="3">
        <v>4</v>
      </c>
    </row>
    <row r="123" spans="2:50" ht="14.25" customHeight="1" x14ac:dyDescent="0.3">
      <c r="B123" s="59"/>
      <c r="C123" s="59"/>
      <c r="D123" s="59"/>
      <c r="E123" s="59"/>
      <c r="F123" s="59"/>
      <c r="G123" s="59"/>
      <c r="H123" s="59"/>
      <c r="I123" s="59"/>
      <c r="J123" s="59"/>
      <c r="K123" s="60" t="e">
        <f>+IF(O119="","",IF(O119&lt;M73,O119,M73))</f>
        <v>#REF!</v>
      </c>
      <c r="L123" s="59"/>
      <c r="M123" s="186" t="e">
        <f ca="1">+M122/K124</f>
        <v>#REF!</v>
      </c>
      <c r="N123" s="186"/>
      <c r="O123" s="186"/>
      <c r="P123" s="46"/>
      <c r="Q123" s="46"/>
      <c r="R123" s="59"/>
      <c r="S123" s="59"/>
      <c r="T123" s="59"/>
      <c r="U123" s="59"/>
      <c r="V123" s="59"/>
      <c r="W123" s="59"/>
      <c r="AK123" s="3">
        <v>5</v>
      </c>
    </row>
    <row r="124" spans="2:50" ht="14.25" customHeight="1" x14ac:dyDescent="0.3">
      <c r="B124" s="59"/>
      <c r="C124" s="59"/>
      <c r="D124" s="59"/>
      <c r="E124" s="59"/>
      <c r="F124" s="59"/>
      <c r="G124" s="59"/>
      <c r="H124" s="59"/>
      <c r="I124" s="59"/>
      <c r="J124" s="59"/>
      <c r="K124" s="60" t="e">
        <f ca="1">+K122+K123</f>
        <v>#REF!</v>
      </c>
      <c r="L124" s="59"/>
      <c r="M124" s="186" t="e">
        <f ca="1">1-M123</f>
        <v>#REF!</v>
      </c>
      <c r="N124" s="186"/>
      <c r="O124" s="186"/>
      <c r="P124" s="46"/>
      <c r="Q124" s="46"/>
      <c r="R124" s="59"/>
      <c r="S124" s="59"/>
      <c r="T124" s="59"/>
      <c r="U124" s="59"/>
      <c r="V124" s="59"/>
      <c r="W124" s="59"/>
      <c r="AK124" s="3">
        <v>6</v>
      </c>
    </row>
    <row r="125" spans="2:50" ht="14.25" customHeight="1" x14ac:dyDescent="0.3">
      <c r="B125" s="59"/>
      <c r="C125" s="59"/>
      <c r="D125" s="59"/>
      <c r="E125" s="59"/>
      <c r="F125" s="59"/>
      <c r="G125" s="59"/>
      <c r="H125" s="59"/>
      <c r="I125" s="59"/>
      <c r="J125" s="59"/>
      <c r="K125" s="60" t="str">
        <f ca="1">+IF(ISERR(K124*#REF!/100)=TRUE,"",K124*#REF!/100)</f>
        <v/>
      </c>
      <c r="L125" s="59"/>
      <c r="M125" s="186"/>
      <c r="N125" s="186"/>
      <c r="O125" s="186"/>
      <c r="P125" s="46"/>
      <c r="Q125" s="46"/>
      <c r="R125" s="59"/>
      <c r="S125" s="59"/>
      <c r="T125" s="59"/>
      <c r="U125" s="59"/>
      <c r="V125" s="59"/>
      <c r="W125" s="59"/>
      <c r="AK125" s="3">
        <v>7</v>
      </c>
    </row>
    <row r="126" spans="2:50" ht="14.25" customHeight="1" x14ac:dyDescent="0.3">
      <c r="B126" s="59"/>
      <c r="C126" s="59"/>
      <c r="D126" s="59"/>
      <c r="E126" s="59"/>
      <c r="F126" s="59"/>
      <c r="G126" s="59"/>
      <c r="H126" s="59"/>
      <c r="I126" s="59"/>
      <c r="J126" s="59"/>
      <c r="K126" s="59"/>
      <c r="L126" s="59"/>
      <c r="M126" s="186"/>
      <c r="N126" s="186"/>
      <c r="O126" s="186"/>
      <c r="P126" s="46"/>
      <c r="Q126" s="46"/>
      <c r="R126" s="59"/>
      <c r="S126" s="59"/>
      <c r="T126" s="59"/>
      <c r="U126" s="59"/>
      <c r="V126" s="59"/>
      <c r="W126" s="59"/>
      <c r="AK126" s="3">
        <v>8</v>
      </c>
    </row>
    <row r="127" spans="2:50" ht="14.25" customHeight="1" x14ac:dyDescent="0.3">
      <c r="B127" s="59"/>
      <c r="C127" s="59"/>
      <c r="D127" s="59"/>
      <c r="E127" s="59"/>
      <c r="F127" s="59"/>
      <c r="G127" s="59"/>
      <c r="H127" s="59"/>
      <c r="I127" s="59"/>
      <c r="J127" s="59"/>
      <c r="K127" s="59"/>
      <c r="L127" s="59"/>
      <c r="M127" s="186"/>
      <c r="N127" s="186"/>
      <c r="O127" s="186"/>
      <c r="P127" s="46"/>
      <c r="Q127" s="46"/>
      <c r="R127" s="59"/>
      <c r="S127" s="59"/>
      <c r="T127" s="59"/>
      <c r="U127" s="59"/>
      <c r="V127" s="59"/>
      <c r="W127" s="59"/>
      <c r="AK127" s="3">
        <v>9</v>
      </c>
    </row>
    <row r="128" spans="2:50" ht="14.25" customHeight="1" x14ac:dyDescent="0.3">
      <c r="B128" s="59"/>
      <c r="C128" s="59"/>
      <c r="D128" s="59"/>
      <c r="E128" s="59"/>
      <c r="F128" s="59"/>
      <c r="G128" s="59"/>
      <c r="H128" s="59"/>
      <c r="I128" s="59"/>
      <c r="J128" s="59"/>
      <c r="K128" s="59"/>
      <c r="L128" s="59"/>
      <c r="M128" s="186"/>
      <c r="N128" s="186"/>
      <c r="O128" s="186"/>
      <c r="P128" s="46"/>
      <c r="Q128" s="46"/>
      <c r="R128" s="59"/>
      <c r="S128" s="59"/>
      <c r="T128" s="59"/>
      <c r="U128" s="59"/>
      <c r="V128" s="59"/>
      <c r="W128" s="59"/>
      <c r="AK128" s="3">
        <v>10</v>
      </c>
    </row>
    <row r="129" spans="2:37" ht="14.25" customHeight="1" x14ac:dyDescent="0.3">
      <c r="B129" s="59"/>
      <c r="C129" s="59"/>
      <c r="D129" s="59"/>
      <c r="E129" s="59"/>
      <c r="F129" s="59"/>
      <c r="G129" s="59"/>
      <c r="H129" s="59"/>
      <c r="I129" s="59"/>
      <c r="J129" s="59"/>
      <c r="K129" s="59"/>
      <c r="L129" s="59"/>
      <c r="M129" s="186"/>
      <c r="N129" s="186"/>
      <c r="O129" s="186"/>
      <c r="P129" s="46"/>
      <c r="Q129" s="46"/>
      <c r="R129" s="59"/>
      <c r="S129" s="59"/>
      <c r="T129" s="59"/>
      <c r="U129" s="59"/>
      <c r="V129" s="59"/>
      <c r="W129" s="59"/>
      <c r="AK129" s="3">
        <v>11</v>
      </c>
    </row>
    <row r="130" spans="2:37" ht="14.25" customHeight="1" x14ac:dyDescent="0.3">
      <c r="B130" s="59"/>
      <c r="C130" s="59"/>
      <c r="D130" s="59"/>
      <c r="E130" s="59"/>
      <c r="F130" s="59"/>
      <c r="G130" s="59"/>
      <c r="H130" s="59"/>
      <c r="I130" s="59"/>
      <c r="J130" s="59"/>
      <c r="K130" s="59"/>
      <c r="L130" s="59"/>
      <c r="M130" s="186"/>
      <c r="N130" s="186"/>
      <c r="O130" s="186"/>
      <c r="P130" s="46"/>
      <c r="Q130" s="46"/>
      <c r="R130" s="59"/>
      <c r="S130" s="59"/>
      <c r="T130" s="59"/>
      <c r="U130" s="59"/>
      <c r="V130" s="59"/>
      <c r="W130" s="59"/>
      <c r="AK130" s="3">
        <v>12</v>
      </c>
    </row>
    <row r="131" spans="2:37" ht="14.25" customHeight="1" x14ac:dyDescent="0.3">
      <c r="B131" s="59"/>
      <c r="C131" s="59"/>
      <c r="D131" s="59"/>
      <c r="E131" s="59"/>
      <c r="F131" s="59"/>
      <c r="G131" s="59"/>
      <c r="H131" s="59"/>
      <c r="I131" s="59"/>
      <c r="J131" s="59"/>
      <c r="K131" s="59"/>
      <c r="L131" s="59"/>
      <c r="M131" s="186"/>
      <c r="N131" s="186"/>
      <c r="O131" s="186" t="s">
        <v>7</v>
      </c>
      <c r="P131" s="46"/>
      <c r="Q131" s="46"/>
      <c r="R131" s="59"/>
      <c r="S131" s="59"/>
      <c r="T131" s="59"/>
      <c r="U131" s="59"/>
      <c r="V131" s="59"/>
      <c r="W131" s="59"/>
      <c r="AK131" s="3">
        <v>13</v>
      </c>
    </row>
    <row r="132" spans="2:37" ht="14.25" customHeight="1" x14ac:dyDescent="0.3">
      <c r="B132" s="59"/>
      <c r="C132" s="59"/>
      <c r="D132" s="59"/>
      <c r="E132" s="59"/>
      <c r="F132" s="59"/>
      <c r="G132" s="59"/>
      <c r="H132" s="59"/>
      <c r="I132" s="59"/>
      <c r="J132" s="59"/>
      <c r="K132" s="59"/>
      <c r="L132" s="59"/>
      <c r="M132" s="186"/>
      <c r="N132" s="186"/>
      <c r="O132" s="186" t="s">
        <v>55</v>
      </c>
      <c r="P132" s="46"/>
      <c r="Q132" s="46"/>
      <c r="R132" s="59"/>
      <c r="S132" s="59"/>
      <c r="T132" s="59"/>
      <c r="U132" s="59"/>
      <c r="V132" s="59"/>
      <c r="W132" s="59"/>
      <c r="AK132" s="3">
        <v>14</v>
      </c>
    </row>
    <row r="133" spans="2:37" ht="14.25" customHeight="1" x14ac:dyDescent="0.3">
      <c r="B133" s="59"/>
      <c r="C133" s="59"/>
      <c r="D133" s="59"/>
      <c r="E133" s="59"/>
      <c r="F133" s="59"/>
      <c r="G133" s="59"/>
      <c r="H133" s="59"/>
      <c r="I133" s="59"/>
      <c r="J133" s="59"/>
      <c r="K133" s="59"/>
      <c r="L133" s="59"/>
      <c r="M133" s="186"/>
      <c r="N133" s="186"/>
      <c r="O133" s="186" t="s">
        <v>56</v>
      </c>
      <c r="P133" s="46"/>
      <c r="Q133" s="46"/>
      <c r="R133" s="59"/>
      <c r="S133" s="59"/>
      <c r="T133" s="59"/>
      <c r="U133" s="59"/>
      <c r="V133" s="59"/>
      <c r="W133" s="59"/>
      <c r="AK133" s="3">
        <v>15</v>
      </c>
    </row>
    <row r="134" spans="2:37" ht="14.25" customHeight="1" x14ac:dyDescent="0.3">
      <c r="B134" s="59"/>
      <c r="C134" s="59"/>
      <c r="D134" s="59"/>
      <c r="E134" s="59"/>
      <c r="F134" s="59"/>
      <c r="G134" s="59"/>
      <c r="H134" s="59"/>
      <c r="I134" s="59"/>
      <c r="J134" s="59"/>
      <c r="K134" s="59"/>
      <c r="L134" s="59"/>
      <c r="M134" s="186"/>
      <c r="N134" s="186"/>
      <c r="O134" s="186" t="s">
        <v>57</v>
      </c>
      <c r="P134" s="46"/>
      <c r="Q134" s="46"/>
      <c r="R134" s="59"/>
      <c r="S134" s="59"/>
      <c r="T134" s="59"/>
      <c r="U134" s="59"/>
      <c r="V134" s="59"/>
      <c r="W134" s="59"/>
      <c r="AK134" s="3">
        <v>16</v>
      </c>
    </row>
    <row r="135" spans="2:37" ht="14.25" customHeight="1" x14ac:dyDescent="0.3">
      <c r="B135" s="59"/>
      <c r="C135" s="59"/>
      <c r="D135" s="59"/>
      <c r="E135" s="59"/>
      <c r="F135" s="59"/>
      <c r="G135" s="59"/>
      <c r="H135" s="59"/>
      <c r="I135" s="59"/>
      <c r="J135" s="59"/>
      <c r="K135" s="59"/>
      <c r="L135" s="59"/>
      <c r="M135" s="186"/>
      <c r="N135" s="186"/>
      <c r="O135" s="186"/>
      <c r="P135" s="46"/>
      <c r="Q135" s="46"/>
      <c r="R135" s="59"/>
      <c r="S135" s="59"/>
      <c r="T135" s="59"/>
      <c r="U135" s="59"/>
      <c r="V135" s="59"/>
      <c r="W135" s="59"/>
      <c r="AK135" s="3">
        <v>17</v>
      </c>
    </row>
    <row r="136" spans="2:37" ht="14.25" customHeight="1" x14ac:dyDescent="0.3">
      <c r="B136" s="59"/>
      <c r="C136" s="59"/>
      <c r="D136" s="59"/>
      <c r="E136" s="59"/>
      <c r="F136" s="59"/>
      <c r="G136" s="59"/>
      <c r="H136" s="59"/>
      <c r="I136" s="59"/>
      <c r="J136" s="59"/>
      <c r="K136" s="59"/>
      <c r="L136" s="59"/>
      <c r="M136" s="186"/>
      <c r="N136" s="186"/>
      <c r="O136" s="186"/>
      <c r="P136" s="46"/>
      <c r="Q136" s="46"/>
      <c r="R136" s="59"/>
      <c r="S136" s="59"/>
      <c r="T136" s="59"/>
      <c r="U136" s="59"/>
      <c r="V136" s="59"/>
      <c r="W136" s="59"/>
      <c r="AK136" s="3">
        <v>18</v>
      </c>
    </row>
    <row r="137" spans="2:37" ht="14.25" customHeight="1" x14ac:dyDescent="0.3">
      <c r="B137" s="59"/>
      <c r="C137" s="59"/>
      <c r="D137" s="59"/>
      <c r="E137" s="59"/>
      <c r="F137" s="59"/>
      <c r="G137" s="59"/>
      <c r="H137" s="59"/>
      <c r="I137" s="59"/>
      <c r="J137" s="59"/>
      <c r="K137" s="59"/>
      <c r="L137" s="59"/>
      <c r="M137" s="186"/>
      <c r="N137" s="186"/>
      <c r="O137" s="186"/>
      <c r="P137" s="46"/>
      <c r="Q137" s="46"/>
      <c r="R137" s="59"/>
      <c r="S137" s="59"/>
      <c r="T137" s="59"/>
      <c r="U137" s="59"/>
      <c r="V137" s="59"/>
      <c r="W137" s="59"/>
      <c r="AK137" s="3">
        <v>19</v>
      </c>
    </row>
    <row r="138" spans="2:37" ht="14.25" customHeight="1" x14ac:dyDescent="0.3">
      <c r="B138" s="59"/>
      <c r="C138" s="59"/>
      <c r="D138" s="59"/>
      <c r="E138" s="59"/>
      <c r="F138" s="59"/>
      <c r="G138" s="59"/>
      <c r="H138" s="59"/>
      <c r="I138" s="59"/>
      <c r="J138" s="59"/>
      <c r="K138" s="59"/>
      <c r="L138" s="59"/>
      <c r="M138" s="186"/>
      <c r="N138" s="186"/>
      <c r="O138" s="186"/>
      <c r="P138" s="46"/>
      <c r="Q138" s="46"/>
      <c r="R138" s="59"/>
      <c r="S138" s="59"/>
      <c r="T138" s="59"/>
      <c r="U138" s="59"/>
      <c r="V138" s="59"/>
      <c r="W138" s="59"/>
      <c r="AK138" s="3">
        <v>20</v>
      </c>
    </row>
    <row r="139" spans="2:37" ht="14.25" customHeight="1" x14ac:dyDescent="0.3">
      <c r="B139" s="59"/>
      <c r="C139" s="59"/>
      <c r="D139" s="59"/>
      <c r="E139" s="59"/>
      <c r="F139" s="59"/>
      <c r="G139" s="59"/>
      <c r="H139" s="59"/>
      <c r="I139" s="59"/>
      <c r="J139" s="59"/>
      <c r="K139" s="59"/>
      <c r="L139" s="59"/>
      <c r="M139" s="186"/>
      <c r="N139" s="186"/>
      <c r="O139" s="186"/>
      <c r="P139" s="46"/>
      <c r="Q139" s="46"/>
      <c r="R139" s="59"/>
      <c r="S139" s="59"/>
      <c r="T139" s="59"/>
      <c r="U139" s="59"/>
      <c r="V139" s="59"/>
      <c r="W139" s="59"/>
      <c r="AK139" s="3">
        <v>21</v>
      </c>
    </row>
    <row r="140" spans="2:37" ht="14.25" customHeight="1" x14ac:dyDescent="0.3">
      <c r="B140" s="59"/>
      <c r="C140" s="59"/>
      <c r="D140" s="59"/>
      <c r="E140" s="59"/>
      <c r="F140" s="59"/>
      <c r="G140" s="59"/>
      <c r="H140" s="59"/>
      <c r="I140" s="59"/>
      <c r="J140" s="59"/>
      <c r="K140" s="59"/>
      <c r="L140" s="59"/>
      <c r="M140" s="186"/>
      <c r="N140" s="186"/>
      <c r="O140" s="186"/>
      <c r="P140" s="46"/>
      <c r="Q140" s="46"/>
      <c r="R140" s="59"/>
      <c r="S140" s="59"/>
      <c r="T140" s="59"/>
      <c r="U140" s="59"/>
      <c r="V140" s="59"/>
      <c r="W140" s="59"/>
      <c r="AK140" s="3">
        <v>22</v>
      </c>
    </row>
    <row r="141" spans="2:37" ht="14.25" customHeight="1" x14ac:dyDescent="0.3">
      <c r="B141" s="59"/>
      <c r="C141" s="59"/>
      <c r="D141" s="59"/>
      <c r="E141" s="59"/>
      <c r="F141" s="59"/>
      <c r="G141" s="59"/>
      <c r="H141" s="59"/>
      <c r="I141" s="59"/>
      <c r="J141" s="59"/>
      <c r="K141" s="59"/>
      <c r="L141" s="59"/>
      <c r="M141" s="186"/>
      <c r="N141" s="186"/>
      <c r="O141" s="186"/>
      <c r="P141" s="46"/>
      <c r="Q141" s="46"/>
      <c r="R141" s="59"/>
      <c r="S141" s="59"/>
      <c r="T141" s="59"/>
      <c r="U141" s="59"/>
      <c r="V141" s="59"/>
      <c r="W141" s="59"/>
      <c r="AK141" s="3">
        <v>23</v>
      </c>
    </row>
    <row r="142" spans="2:37" ht="14.25" customHeight="1" x14ac:dyDescent="0.3">
      <c r="B142" s="59"/>
      <c r="C142" s="59"/>
      <c r="D142" s="59"/>
      <c r="E142" s="59"/>
      <c r="F142" s="59"/>
      <c r="G142" s="59"/>
      <c r="H142" s="59"/>
      <c r="I142" s="59"/>
      <c r="J142" s="59"/>
      <c r="K142" s="59"/>
      <c r="L142" s="59"/>
      <c r="M142" s="186"/>
      <c r="N142" s="186"/>
      <c r="O142" s="186"/>
      <c r="P142" s="46"/>
      <c r="Q142" s="46"/>
      <c r="R142" s="59"/>
      <c r="S142" s="59"/>
      <c r="T142" s="59"/>
      <c r="U142" s="59"/>
      <c r="V142" s="59"/>
      <c r="W142" s="59"/>
      <c r="AK142" s="3">
        <v>24</v>
      </c>
    </row>
    <row r="143" spans="2:37" ht="14.25" customHeight="1" x14ac:dyDescent="0.3">
      <c r="B143" s="59"/>
      <c r="C143" s="59"/>
      <c r="D143" s="59"/>
      <c r="E143" s="59"/>
      <c r="F143" s="59"/>
      <c r="G143" s="59"/>
      <c r="H143" s="59"/>
      <c r="I143" s="59"/>
      <c r="J143" s="59"/>
      <c r="K143" s="59"/>
      <c r="L143" s="59"/>
      <c r="M143" s="186"/>
      <c r="N143" s="186"/>
      <c r="O143" s="186"/>
      <c r="P143" s="46"/>
      <c r="Q143" s="46"/>
      <c r="R143" s="59"/>
      <c r="S143" s="59"/>
      <c r="T143" s="59"/>
      <c r="U143" s="59"/>
      <c r="V143" s="59"/>
      <c r="W143" s="59"/>
      <c r="AK143" s="3">
        <v>25</v>
      </c>
    </row>
    <row r="144" spans="2:37" ht="14.25" customHeight="1" x14ac:dyDescent="0.3">
      <c r="B144" s="59"/>
      <c r="C144" s="59"/>
      <c r="D144" s="59"/>
      <c r="E144" s="59"/>
      <c r="F144" s="59"/>
      <c r="G144" s="59"/>
      <c r="H144" s="59"/>
      <c r="I144" s="59"/>
      <c r="J144" s="59"/>
      <c r="K144" s="59"/>
      <c r="L144" s="59"/>
      <c r="M144" s="186"/>
      <c r="N144" s="186"/>
      <c r="O144" s="186"/>
      <c r="P144" s="46"/>
      <c r="Q144" s="46"/>
      <c r="R144" s="59"/>
      <c r="S144" s="59"/>
      <c r="T144" s="59"/>
      <c r="U144" s="59"/>
      <c r="V144" s="59"/>
      <c r="W144" s="59"/>
      <c r="AK144" s="3">
        <v>26</v>
      </c>
    </row>
    <row r="145" spans="2:37" ht="14.25" customHeight="1" x14ac:dyDescent="0.3">
      <c r="B145" s="59"/>
      <c r="C145" s="59"/>
      <c r="D145" s="59"/>
      <c r="E145" s="59"/>
      <c r="F145" s="59"/>
      <c r="G145" s="59"/>
      <c r="H145" s="59"/>
      <c r="I145" s="59"/>
      <c r="J145" s="59"/>
      <c r="K145" s="59"/>
      <c r="L145" s="59"/>
      <c r="M145" s="186"/>
      <c r="N145" s="186"/>
      <c r="O145" s="186"/>
      <c r="P145" s="46"/>
      <c r="Q145" s="46"/>
      <c r="R145" s="59"/>
      <c r="S145" s="59"/>
      <c r="T145" s="59"/>
      <c r="U145" s="59"/>
      <c r="V145" s="59"/>
      <c r="W145" s="59"/>
      <c r="AK145" s="3">
        <v>27</v>
      </c>
    </row>
    <row r="146" spans="2:37" ht="14.25" customHeight="1" x14ac:dyDescent="0.3">
      <c r="B146" s="59"/>
      <c r="C146" s="59"/>
      <c r="D146" s="59"/>
      <c r="E146" s="59"/>
      <c r="F146" s="59"/>
      <c r="G146" s="59"/>
      <c r="H146" s="59"/>
      <c r="I146" s="59"/>
      <c r="J146" s="59"/>
      <c r="K146" s="59"/>
      <c r="L146" s="59"/>
      <c r="M146" s="186"/>
      <c r="N146" s="186"/>
      <c r="O146" s="186"/>
      <c r="P146" s="46"/>
      <c r="Q146" s="46"/>
      <c r="R146" s="59"/>
      <c r="S146" s="59"/>
      <c r="T146" s="59"/>
      <c r="U146" s="59"/>
      <c r="V146" s="59"/>
      <c r="W146" s="59"/>
      <c r="AK146" s="3">
        <v>28</v>
      </c>
    </row>
    <row r="147" spans="2:37" ht="14.25" customHeight="1" x14ac:dyDescent="0.3">
      <c r="B147" s="59"/>
      <c r="C147" s="59"/>
      <c r="D147" s="59"/>
      <c r="E147" s="59"/>
      <c r="F147" s="59"/>
      <c r="G147" s="59"/>
      <c r="H147" s="59"/>
      <c r="I147" s="59"/>
      <c r="J147" s="59"/>
      <c r="K147" s="59"/>
      <c r="L147" s="59"/>
      <c r="M147" s="186"/>
      <c r="N147" s="186"/>
      <c r="O147" s="186"/>
      <c r="P147" s="46"/>
      <c r="Q147" s="46"/>
      <c r="R147" s="59"/>
      <c r="S147" s="59"/>
      <c r="T147" s="59"/>
      <c r="U147" s="59"/>
      <c r="V147" s="59"/>
      <c r="W147" s="59"/>
      <c r="AK147" s="3">
        <v>29</v>
      </c>
    </row>
    <row r="148" spans="2:37" ht="14.25" customHeight="1" x14ac:dyDescent="0.3">
      <c r="B148" s="59"/>
      <c r="C148" s="59"/>
      <c r="D148" s="59"/>
      <c r="E148" s="59"/>
      <c r="F148" s="59"/>
      <c r="G148" s="59"/>
      <c r="H148" s="59"/>
      <c r="I148" s="59"/>
      <c r="J148" s="59"/>
      <c r="K148" s="59"/>
      <c r="L148" s="59"/>
      <c r="M148" s="186"/>
      <c r="N148" s="186"/>
      <c r="O148" s="186"/>
      <c r="P148" s="46"/>
      <c r="Q148" s="46"/>
      <c r="R148" s="59"/>
      <c r="S148" s="59"/>
      <c r="T148" s="59"/>
      <c r="U148" s="59"/>
      <c r="V148" s="59"/>
      <c r="W148" s="59"/>
      <c r="AK148" s="3">
        <v>30</v>
      </c>
    </row>
    <row r="149" spans="2:37" ht="14.25" customHeight="1" x14ac:dyDescent="0.3">
      <c r="B149" s="59"/>
      <c r="C149" s="59"/>
      <c r="D149" s="59"/>
      <c r="E149" s="59"/>
      <c r="F149" s="59"/>
      <c r="G149" s="59"/>
      <c r="H149" s="59"/>
      <c r="I149" s="59"/>
      <c r="J149" s="59"/>
      <c r="K149" s="59"/>
      <c r="L149" s="59"/>
      <c r="M149" s="186"/>
      <c r="N149" s="186"/>
      <c r="O149" s="186"/>
      <c r="P149" s="46"/>
      <c r="Q149" s="46"/>
      <c r="R149" s="59"/>
      <c r="S149" s="59"/>
      <c r="T149" s="59"/>
      <c r="U149" s="59"/>
      <c r="V149" s="59"/>
      <c r="W149" s="59"/>
      <c r="AK149" s="3">
        <v>31</v>
      </c>
    </row>
    <row r="150" spans="2:37" ht="14.25" customHeight="1" x14ac:dyDescent="0.3">
      <c r="B150" s="59"/>
      <c r="C150" s="59"/>
      <c r="D150" s="59"/>
      <c r="E150" s="59"/>
      <c r="F150" s="59"/>
      <c r="G150" s="59"/>
      <c r="H150" s="59"/>
      <c r="I150" s="59"/>
      <c r="J150" s="59"/>
      <c r="K150" s="59"/>
      <c r="L150" s="59"/>
      <c r="M150" s="186"/>
      <c r="N150" s="186"/>
      <c r="O150" s="186"/>
      <c r="P150" s="46"/>
      <c r="Q150" s="46"/>
      <c r="R150" s="59"/>
      <c r="S150" s="59"/>
      <c r="T150" s="59"/>
      <c r="U150" s="59"/>
      <c r="V150" s="59"/>
      <c r="W150" s="59"/>
      <c r="AK150" s="3">
        <v>32</v>
      </c>
    </row>
    <row r="151" spans="2:37" ht="14.25" customHeight="1" x14ac:dyDescent="0.3">
      <c r="B151" s="59"/>
      <c r="C151" s="59"/>
      <c r="D151" s="59"/>
      <c r="E151" s="59"/>
      <c r="F151" s="59"/>
      <c r="G151" s="59"/>
      <c r="H151" s="59"/>
      <c r="I151" s="59"/>
      <c r="J151" s="59"/>
      <c r="K151" s="59"/>
      <c r="L151" s="59"/>
      <c r="M151" s="186"/>
      <c r="N151" s="186"/>
      <c r="O151" s="186"/>
      <c r="P151" s="46"/>
      <c r="Q151" s="46"/>
      <c r="R151" s="59"/>
      <c r="S151" s="59"/>
      <c r="T151" s="59"/>
      <c r="U151" s="59"/>
      <c r="V151" s="59"/>
      <c r="W151" s="59"/>
      <c r="AK151" s="3">
        <v>33</v>
      </c>
    </row>
    <row r="152" spans="2:37" ht="14.25" customHeight="1" x14ac:dyDescent="0.3">
      <c r="B152" s="59"/>
      <c r="C152" s="59"/>
      <c r="D152" s="59"/>
      <c r="E152" s="59"/>
      <c r="F152" s="59"/>
      <c r="G152" s="59"/>
      <c r="H152" s="59"/>
      <c r="I152" s="59"/>
      <c r="J152" s="59"/>
      <c r="K152" s="59"/>
      <c r="L152" s="59"/>
      <c r="M152" s="186"/>
      <c r="N152" s="186"/>
      <c r="O152" s="186"/>
      <c r="P152" s="46"/>
      <c r="Q152" s="46"/>
      <c r="R152" s="59"/>
      <c r="S152" s="59"/>
      <c r="T152" s="59"/>
      <c r="U152" s="59"/>
      <c r="V152" s="59"/>
      <c r="W152" s="59"/>
      <c r="AK152" s="3">
        <v>34</v>
      </c>
    </row>
    <row r="153" spans="2:37" ht="14.25" customHeight="1" x14ac:dyDescent="0.3">
      <c r="B153" s="59"/>
      <c r="C153" s="59"/>
      <c r="D153" s="59"/>
      <c r="E153" s="59"/>
      <c r="F153" s="59"/>
      <c r="G153" s="59"/>
      <c r="H153" s="59"/>
      <c r="I153" s="59"/>
      <c r="J153" s="59"/>
      <c r="K153" s="59"/>
      <c r="L153" s="59"/>
      <c r="M153" s="186"/>
      <c r="N153" s="186"/>
      <c r="O153" s="186"/>
      <c r="P153" s="46"/>
      <c r="Q153" s="46"/>
      <c r="R153" s="59"/>
      <c r="S153" s="59"/>
      <c r="T153" s="59"/>
      <c r="U153" s="59"/>
      <c r="V153" s="59"/>
      <c r="W153" s="59"/>
      <c r="AK153" s="3">
        <v>35</v>
      </c>
    </row>
    <row r="154" spans="2:37" ht="14.25" customHeight="1" x14ac:dyDescent="0.3">
      <c r="B154" s="59"/>
      <c r="C154" s="59"/>
      <c r="D154" s="59"/>
      <c r="E154" s="59"/>
      <c r="F154" s="59"/>
      <c r="G154" s="59"/>
      <c r="H154" s="59"/>
      <c r="I154" s="59"/>
      <c r="J154" s="59"/>
      <c r="K154" s="59"/>
      <c r="L154" s="59"/>
      <c r="M154" s="186"/>
      <c r="N154" s="186"/>
      <c r="O154" s="186"/>
      <c r="P154" s="46"/>
      <c r="Q154" s="46"/>
      <c r="R154" s="59"/>
      <c r="S154" s="59"/>
      <c r="T154" s="59"/>
      <c r="U154" s="59"/>
      <c r="V154" s="59"/>
      <c r="W154" s="59"/>
      <c r="AK154" s="3">
        <v>36</v>
      </c>
    </row>
    <row r="155" spans="2:37" ht="14.25" customHeight="1" x14ac:dyDescent="0.3">
      <c r="B155" s="59"/>
      <c r="C155" s="59"/>
      <c r="D155" s="59"/>
      <c r="E155" s="59"/>
      <c r="F155" s="59"/>
      <c r="G155" s="59"/>
      <c r="H155" s="59"/>
      <c r="I155" s="59"/>
      <c r="J155" s="59"/>
      <c r="K155" s="59"/>
      <c r="L155" s="59"/>
      <c r="M155" s="186"/>
      <c r="N155" s="186"/>
      <c r="O155" s="186"/>
      <c r="P155" s="46"/>
      <c r="Q155" s="46"/>
      <c r="R155" s="59"/>
      <c r="S155" s="59"/>
      <c r="T155" s="59"/>
      <c r="U155" s="59"/>
      <c r="V155" s="59"/>
      <c r="W155" s="59"/>
      <c r="AK155" s="3">
        <v>37</v>
      </c>
    </row>
    <row r="156" spans="2:37" ht="14.25" customHeight="1" x14ac:dyDescent="0.3">
      <c r="B156" s="59"/>
      <c r="C156" s="59"/>
      <c r="D156" s="59"/>
      <c r="E156" s="59"/>
      <c r="F156" s="59"/>
      <c r="G156" s="59"/>
      <c r="H156" s="59"/>
      <c r="I156" s="59"/>
      <c r="J156" s="59"/>
      <c r="K156" s="59"/>
      <c r="L156" s="59"/>
      <c r="M156" s="186"/>
      <c r="N156" s="186"/>
      <c r="O156" s="186"/>
      <c r="P156" s="46"/>
      <c r="Q156" s="46"/>
      <c r="R156" s="59"/>
      <c r="S156" s="59"/>
      <c r="T156" s="59"/>
      <c r="U156" s="59"/>
      <c r="V156" s="59"/>
      <c r="W156" s="59"/>
      <c r="AK156" s="3">
        <v>38</v>
      </c>
    </row>
    <row r="157" spans="2:37" ht="14.25" customHeight="1" x14ac:dyDescent="0.3">
      <c r="B157" s="59"/>
      <c r="C157" s="59"/>
      <c r="D157" s="59"/>
      <c r="E157" s="59"/>
      <c r="F157" s="59"/>
      <c r="G157" s="59"/>
      <c r="H157" s="59"/>
      <c r="I157" s="59"/>
      <c r="J157" s="59"/>
      <c r="K157" s="59"/>
      <c r="L157" s="59"/>
      <c r="M157" s="186"/>
      <c r="N157" s="186"/>
      <c r="O157" s="186"/>
      <c r="P157" s="46"/>
      <c r="Q157" s="46"/>
      <c r="R157" s="59"/>
      <c r="S157" s="59"/>
      <c r="T157" s="59"/>
      <c r="U157" s="59"/>
      <c r="V157" s="59"/>
      <c r="W157" s="59"/>
      <c r="AK157" s="3">
        <v>39</v>
      </c>
    </row>
    <row r="158" spans="2:37" ht="14.25" customHeight="1" x14ac:dyDescent="0.3">
      <c r="B158" s="59"/>
      <c r="C158" s="59"/>
      <c r="D158" s="59"/>
      <c r="E158" s="59"/>
      <c r="F158" s="59"/>
      <c r="G158" s="59"/>
      <c r="H158" s="59"/>
      <c r="I158" s="59"/>
      <c r="J158" s="59"/>
      <c r="K158" s="59"/>
      <c r="L158" s="59"/>
      <c r="M158" s="186"/>
      <c r="N158" s="186"/>
      <c r="O158" s="186"/>
      <c r="P158" s="46"/>
      <c r="Q158" s="46"/>
      <c r="R158" s="59"/>
      <c r="S158" s="59"/>
      <c r="T158" s="59"/>
      <c r="U158" s="59"/>
      <c r="V158" s="59"/>
      <c r="W158" s="59"/>
      <c r="AK158" s="3">
        <v>40</v>
      </c>
    </row>
    <row r="159" spans="2:37" ht="14.25" customHeight="1" x14ac:dyDescent="0.3">
      <c r="B159" s="59"/>
      <c r="C159" s="59"/>
      <c r="D159" s="59"/>
      <c r="E159" s="59"/>
      <c r="F159" s="59"/>
      <c r="G159" s="59"/>
      <c r="H159" s="59"/>
      <c r="I159" s="59"/>
      <c r="J159" s="59"/>
      <c r="K159" s="59"/>
      <c r="L159" s="59"/>
      <c r="M159" s="186"/>
      <c r="N159" s="186"/>
      <c r="O159" s="186"/>
      <c r="P159" s="46"/>
      <c r="Q159" s="46"/>
      <c r="R159" s="59"/>
      <c r="S159" s="59"/>
      <c r="T159" s="59"/>
      <c r="U159" s="59"/>
      <c r="V159" s="59"/>
      <c r="W159" s="59"/>
      <c r="AK159" s="3">
        <v>41</v>
      </c>
    </row>
    <row r="160" spans="2:37" ht="14.25" customHeight="1" x14ac:dyDescent="0.3">
      <c r="B160" s="59"/>
      <c r="C160" s="59"/>
      <c r="D160" s="59"/>
      <c r="E160" s="59"/>
      <c r="F160" s="59"/>
      <c r="G160" s="59"/>
      <c r="H160" s="59"/>
      <c r="I160" s="59"/>
      <c r="J160" s="59"/>
      <c r="K160" s="59"/>
      <c r="L160" s="59"/>
      <c r="M160" s="186"/>
      <c r="N160" s="186"/>
      <c r="O160" s="186"/>
      <c r="P160" s="46"/>
      <c r="Q160" s="46"/>
      <c r="R160" s="59"/>
      <c r="S160" s="59"/>
      <c r="T160" s="59"/>
      <c r="U160" s="59"/>
      <c r="V160" s="59"/>
      <c r="W160" s="59"/>
      <c r="AK160" s="3">
        <v>42</v>
      </c>
    </row>
    <row r="161" spans="2:37" ht="14.25" customHeight="1" x14ac:dyDescent="0.3">
      <c r="B161" s="59"/>
      <c r="C161" s="59"/>
      <c r="D161" s="59"/>
      <c r="E161" s="59"/>
      <c r="F161" s="59"/>
      <c r="G161" s="59"/>
      <c r="H161" s="59"/>
      <c r="I161" s="59"/>
      <c r="J161" s="59"/>
      <c r="K161" s="59"/>
      <c r="L161" s="59"/>
      <c r="M161" s="186"/>
      <c r="N161" s="186"/>
      <c r="O161" s="186"/>
      <c r="P161" s="46"/>
      <c r="Q161" s="46"/>
      <c r="R161" s="59"/>
      <c r="S161" s="59"/>
      <c r="T161" s="59"/>
      <c r="U161" s="59"/>
      <c r="V161" s="59"/>
      <c r="W161" s="59"/>
      <c r="AK161" s="3">
        <v>43</v>
      </c>
    </row>
    <row r="162" spans="2:37" ht="14.25" customHeight="1" x14ac:dyDescent="0.3">
      <c r="B162" s="59"/>
      <c r="C162" s="59"/>
      <c r="D162" s="59"/>
      <c r="E162" s="59"/>
      <c r="F162" s="59"/>
      <c r="G162" s="59"/>
      <c r="H162" s="59"/>
      <c r="I162" s="59"/>
      <c r="J162" s="59"/>
      <c r="K162" s="59"/>
      <c r="L162" s="59"/>
      <c r="M162" s="186"/>
      <c r="N162" s="186"/>
      <c r="O162" s="186"/>
      <c r="P162" s="46"/>
      <c r="Q162" s="46"/>
      <c r="R162" s="59"/>
      <c r="S162" s="59"/>
      <c r="T162" s="59"/>
      <c r="U162" s="59"/>
      <c r="V162" s="59"/>
      <c r="W162" s="59"/>
      <c r="AK162" s="3">
        <v>44</v>
      </c>
    </row>
    <row r="163" spans="2:37" ht="14.25" customHeight="1" x14ac:dyDescent="0.3">
      <c r="B163" s="59"/>
      <c r="C163" s="59"/>
      <c r="D163" s="59"/>
      <c r="E163" s="59"/>
      <c r="F163" s="59"/>
      <c r="G163" s="59"/>
      <c r="H163" s="59"/>
      <c r="I163" s="59"/>
      <c r="J163" s="59"/>
      <c r="K163" s="59"/>
      <c r="L163" s="59"/>
      <c r="M163" s="186"/>
      <c r="N163" s="186"/>
      <c r="O163" s="186"/>
      <c r="P163" s="46"/>
      <c r="Q163" s="46"/>
      <c r="R163" s="59"/>
      <c r="S163" s="59"/>
      <c r="T163" s="59"/>
      <c r="U163" s="59"/>
      <c r="V163" s="59"/>
      <c r="W163" s="59"/>
      <c r="AK163" s="3">
        <v>45</v>
      </c>
    </row>
    <row r="164" spans="2:37" ht="14.25" customHeight="1" x14ac:dyDescent="0.3">
      <c r="B164" s="59"/>
      <c r="C164" s="59"/>
      <c r="D164" s="59"/>
      <c r="E164" s="59"/>
      <c r="F164" s="59"/>
      <c r="G164" s="59"/>
      <c r="H164" s="59"/>
      <c r="I164" s="59"/>
      <c r="J164" s="59"/>
      <c r="K164" s="59"/>
      <c r="L164" s="59"/>
      <c r="M164" s="186"/>
      <c r="N164" s="186"/>
      <c r="O164" s="186"/>
      <c r="P164" s="46"/>
      <c r="Q164" s="46"/>
      <c r="R164" s="59"/>
      <c r="S164" s="59"/>
      <c r="T164" s="59"/>
      <c r="U164" s="59"/>
      <c r="V164" s="59"/>
      <c r="W164" s="59"/>
      <c r="AK164" s="3">
        <v>46</v>
      </c>
    </row>
    <row r="165" spans="2:37" ht="14.25" customHeight="1" x14ac:dyDescent="0.3">
      <c r="B165" s="59"/>
      <c r="C165" s="59"/>
      <c r="D165" s="59"/>
      <c r="E165" s="59"/>
      <c r="F165" s="59"/>
      <c r="G165" s="59"/>
      <c r="H165" s="59"/>
      <c r="I165" s="59"/>
      <c r="J165" s="59"/>
      <c r="K165" s="59"/>
      <c r="L165" s="59"/>
      <c r="M165" s="186"/>
      <c r="N165" s="186"/>
      <c r="O165" s="186"/>
      <c r="P165" s="46"/>
      <c r="Q165" s="46"/>
      <c r="R165" s="59"/>
      <c r="S165" s="59"/>
      <c r="T165" s="59"/>
      <c r="U165" s="59"/>
      <c r="V165" s="59"/>
      <c r="W165" s="59"/>
      <c r="AK165" s="3">
        <v>47</v>
      </c>
    </row>
    <row r="166" spans="2:37" ht="14.25" customHeight="1" x14ac:dyDescent="0.3">
      <c r="B166" s="59"/>
      <c r="C166" s="59"/>
      <c r="D166" s="59"/>
      <c r="E166" s="59"/>
      <c r="F166" s="59"/>
      <c r="G166" s="59"/>
      <c r="H166" s="59"/>
      <c r="I166" s="59"/>
      <c r="J166" s="59"/>
      <c r="K166" s="59"/>
      <c r="L166" s="59"/>
      <c r="M166" s="186"/>
      <c r="N166" s="186"/>
      <c r="O166" s="186"/>
      <c r="P166" s="46"/>
      <c r="Q166" s="46"/>
      <c r="R166" s="59"/>
      <c r="S166" s="59"/>
      <c r="T166" s="59"/>
      <c r="U166" s="59"/>
      <c r="V166" s="59"/>
      <c r="W166" s="59"/>
      <c r="AK166" s="3">
        <v>48</v>
      </c>
    </row>
    <row r="167" spans="2:37" ht="14.25" customHeight="1" x14ac:dyDescent="0.3">
      <c r="B167" s="59"/>
      <c r="C167" s="59"/>
      <c r="D167" s="59"/>
      <c r="E167" s="59"/>
      <c r="F167" s="59"/>
      <c r="G167" s="59"/>
      <c r="H167" s="59"/>
      <c r="I167" s="59"/>
      <c r="J167" s="59"/>
      <c r="K167" s="59"/>
      <c r="L167" s="59"/>
      <c r="M167" s="186"/>
      <c r="N167" s="186"/>
      <c r="O167" s="186"/>
      <c r="P167" s="46"/>
      <c r="Q167" s="46"/>
      <c r="R167" s="59"/>
      <c r="S167" s="59"/>
      <c r="T167" s="59"/>
      <c r="U167" s="59"/>
      <c r="V167" s="59"/>
      <c r="W167" s="59"/>
      <c r="AK167" s="3">
        <v>49</v>
      </c>
    </row>
    <row r="168" spans="2:37" ht="14.25" customHeight="1" x14ac:dyDescent="0.3">
      <c r="B168" s="59"/>
      <c r="C168" s="59"/>
      <c r="D168" s="59"/>
      <c r="E168" s="59"/>
      <c r="F168" s="59"/>
      <c r="G168" s="59"/>
      <c r="H168" s="59"/>
      <c r="I168" s="59"/>
      <c r="J168" s="59"/>
      <c r="K168" s="59"/>
      <c r="L168" s="59"/>
      <c r="M168" s="186"/>
      <c r="N168" s="186"/>
      <c r="O168" s="186"/>
      <c r="P168" s="46"/>
      <c r="Q168" s="46"/>
      <c r="R168" s="59"/>
      <c r="S168" s="59"/>
      <c r="T168" s="59"/>
      <c r="U168" s="59"/>
      <c r="V168" s="59"/>
      <c r="W168" s="59"/>
      <c r="AK168" s="3">
        <v>50</v>
      </c>
    </row>
    <row r="169" spans="2:37" ht="14.25" customHeight="1" x14ac:dyDescent="0.3">
      <c r="B169" s="59"/>
      <c r="C169" s="59"/>
      <c r="D169" s="59"/>
      <c r="E169" s="59"/>
      <c r="F169" s="59"/>
      <c r="G169" s="59"/>
      <c r="H169" s="59"/>
      <c r="I169" s="59"/>
      <c r="J169" s="59"/>
      <c r="K169" s="59"/>
      <c r="L169" s="59"/>
      <c r="M169" s="186"/>
      <c r="N169" s="186"/>
      <c r="O169" s="186"/>
      <c r="P169" s="46"/>
      <c r="Q169" s="46"/>
      <c r="R169" s="59"/>
      <c r="S169" s="59"/>
      <c r="T169" s="59"/>
      <c r="U169" s="59"/>
      <c r="V169" s="59"/>
      <c r="W169" s="59"/>
      <c r="AK169" s="3">
        <v>51</v>
      </c>
    </row>
    <row r="170" spans="2:37" ht="14.25" customHeight="1" x14ac:dyDescent="0.3">
      <c r="B170" s="59"/>
      <c r="C170" s="59"/>
      <c r="D170" s="59"/>
      <c r="E170" s="59"/>
      <c r="F170" s="59"/>
      <c r="G170" s="59"/>
      <c r="H170" s="59"/>
      <c r="I170" s="59"/>
      <c r="J170" s="59"/>
      <c r="K170" s="59"/>
      <c r="L170" s="59"/>
      <c r="M170" s="186"/>
      <c r="N170" s="186"/>
      <c r="O170" s="186"/>
      <c r="P170" s="46"/>
      <c r="Q170" s="46"/>
      <c r="R170" s="59"/>
      <c r="S170" s="59"/>
      <c r="T170" s="59"/>
      <c r="U170" s="59"/>
      <c r="V170" s="59"/>
      <c r="W170" s="59"/>
      <c r="AK170" s="3">
        <v>52</v>
      </c>
    </row>
    <row r="171" spans="2:37" ht="14.25" customHeight="1" x14ac:dyDescent="0.3">
      <c r="B171" s="59"/>
      <c r="C171" s="59"/>
      <c r="D171" s="59"/>
      <c r="E171" s="59"/>
      <c r="F171" s="59"/>
      <c r="G171" s="59"/>
      <c r="H171" s="59"/>
      <c r="I171" s="59"/>
      <c r="J171" s="59"/>
      <c r="K171" s="59"/>
      <c r="L171" s="59"/>
      <c r="M171" s="186"/>
      <c r="N171" s="186"/>
      <c r="O171" s="186"/>
      <c r="P171" s="46"/>
      <c r="Q171" s="46"/>
      <c r="R171" s="59"/>
      <c r="S171" s="59"/>
      <c r="T171" s="59"/>
      <c r="U171" s="59"/>
      <c r="V171" s="59"/>
      <c r="W171" s="59"/>
      <c r="AK171" s="3">
        <v>53</v>
      </c>
    </row>
    <row r="172" spans="2:37" ht="14.25" customHeight="1" x14ac:dyDescent="0.3">
      <c r="B172" s="59"/>
      <c r="C172" s="59"/>
      <c r="D172" s="59"/>
      <c r="E172" s="59"/>
      <c r="F172" s="59"/>
      <c r="G172" s="59"/>
      <c r="H172" s="59"/>
      <c r="I172" s="59"/>
      <c r="J172" s="59"/>
      <c r="K172" s="59"/>
      <c r="L172" s="59"/>
      <c r="M172" s="186"/>
      <c r="N172" s="186"/>
      <c r="O172" s="186"/>
      <c r="P172" s="46"/>
      <c r="Q172" s="46"/>
      <c r="R172" s="59"/>
      <c r="S172" s="59"/>
      <c r="T172" s="59"/>
      <c r="U172" s="59"/>
      <c r="V172" s="59"/>
      <c r="W172" s="59"/>
      <c r="AK172" s="3">
        <v>54</v>
      </c>
    </row>
    <row r="173" spans="2:37" ht="14.25" customHeight="1" x14ac:dyDescent="0.3">
      <c r="B173" s="59"/>
      <c r="C173" s="59"/>
      <c r="D173" s="59"/>
      <c r="E173" s="59"/>
      <c r="F173" s="59"/>
      <c r="G173" s="59"/>
      <c r="H173" s="59"/>
      <c r="I173" s="59"/>
      <c r="J173" s="59"/>
      <c r="K173" s="59"/>
      <c r="L173" s="59"/>
      <c r="M173" s="186"/>
      <c r="N173" s="186"/>
      <c r="O173" s="186"/>
      <c r="P173" s="46"/>
      <c r="Q173" s="46"/>
      <c r="R173" s="59"/>
      <c r="S173" s="59"/>
      <c r="T173" s="59"/>
      <c r="U173" s="59"/>
      <c r="V173" s="59"/>
      <c r="W173" s="59"/>
      <c r="AK173" s="3">
        <v>55</v>
      </c>
    </row>
    <row r="174" spans="2:37" ht="14.25" customHeight="1" x14ac:dyDescent="0.3">
      <c r="B174" s="59"/>
      <c r="C174" s="59"/>
      <c r="D174" s="59"/>
      <c r="E174" s="59"/>
      <c r="F174" s="59"/>
      <c r="G174" s="59"/>
      <c r="H174" s="59"/>
      <c r="I174" s="59"/>
      <c r="J174" s="59"/>
      <c r="K174" s="59"/>
      <c r="L174" s="59"/>
      <c r="M174" s="186"/>
      <c r="N174" s="186"/>
      <c r="O174" s="186"/>
      <c r="P174" s="46"/>
      <c r="Q174" s="46"/>
      <c r="R174" s="59"/>
      <c r="S174" s="59"/>
      <c r="T174" s="59"/>
      <c r="U174" s="59"/>
      <c r="V174" s="59"/>
      <c r="W174" s="59"/>
      <c r="AK174" s="3">
        <v>56</v>
      </c>
    </row>
    <row r="175" spans="2:37" ht="14.25" customHeight="1" x14ac:dyDescent="0.3">
      <c r="B175" s="59"/>
      <c r="C175" s="59"/>
      <c r="D175" s="59"/>
      <c r="E175" s="59"/>
      <c r="F175" s="59"/>
      <c r="G175" s="59"/>
      <c r="H175" s="59"/>
      <c r="I175" s="59"/>
      <c r="J175" s="59"/>
      <c r="K175" s="59"/>
      <c r="L175" s="59"/>
      <c r="M175" s="186"/>
      <c r="N175" s="186"/>
      <c r="O175" s="186"/>
      <c r="P175" s="46"/>
      <c r="Q175" s="46"/>
      <c r="R175" s="59"/>
      <c r="S175" s="59"/>
      <c r="T175" s="59"/>
      <c r="U175" s="59"/>
      <c r="V175" s="59"/>
      <c r="W175" s="59"/>
      <c r="AK175" s="3">
        <v>57</v>
      </c>
    </row>
    <row r="176" spans="2:37" ht="14.25" customHeight="1" x14ac:dyDescent="0.3">
      <c r="B176" s="59"/>
      <c r="C176" s="59"/>
      <c r="D176" s="59"/>
      <c r="E176" s="59"/>
      <c r="F176" s="59"/>
      <c r="G176" s="59"/>
      <c r="H176" s="59"/>
      <c r="I176" s="59"/>
      <c r="J176" s="59"/>
      <c r="K176" s="59"/>
      <c r="L176" s="59"/>
      <c r="M176" s="186"/>
      <c r="N176" s="186"/>
      <c r="O176" s="186"/>
      <c r="P176" s="46"/>
      <c r="Q176" s="46"/>
      <c r="R176" s="59"/>
      <c r="S176" s="59"/>
      <c r="T176" s="59"/>
      <c r="U176" s="59"/>
      <c r="V176" s="59"/>
      <c r="W176" s="59"/>
      <c r="AK176" s="3">
        <v>58</v>
      </c>
    </row>
    <row r="177" spans="2:37" ht="14.25" customHeight="1" x14ac:dyDescent="0.3">
      <c r="B177" s="59"/>
      <c r="C177" s="59"/>
      <c r="D177" s="59"/>
      <c r="E177" s="59"/>
      <c r="F177" s="59"/>
      <c r="G177" s="59"/>
      <c r="H177" s="59"/>
      <c r="I177" s="59"/>
      <c r="J177" s="59"/>
      <c r="K177" s="59"/>
      <c r="L177" s="59"/>
      <c r="M177" s="186"/>
      <c r="N177" s="186"/>
      <c r="O177" s="186"/>
      <c r="P177" s="46"/>
      <c r="Q177" s="46"/>
      <c r="R177" s="59"/>
      <c r="S177" s="59"/>
      <c r="T177" s="59"/>
      <c r="U177" s="59"/>
      <c r="V177" s="59"/>
      <c r="W177" s="59"/>
      <c r="AK177" s="3">
        <v>59</v>
      </c>
    </row>
    <row r="178" spans="2:37" ht="14.25" customHeight="1" x14ac:dyDescent="0.3">
      <c r="B178" s="59"/>
      <c r="C178" s="59"/>
      <c r="D178" s="59"/>
      <c r="E178" s="59"/>
      <c r="F178" s="59"/>
      <c r="G178" s="59"/>
      <c r="H178" s="59"/>
      <c r="I178" s="59"/>
      <c r="J178" s="59"/>
      <c r="K178" s="59"/>
      <c r="L178" s="59"/>
      <c r="M178" s="186"/>
      <c r="N178" s="186"/>
      <c r="O178" s="186"/>
      <c r="P178" s="46"/>
      <c r="Q178" s="46"/>
      <c r="R178" s="59"/>
      <c r="S178" s="59"/>
      <c r="T178" s="59"/>
      <c r="U178" s="59"/>
      <c r="V178" s="59"/>
      <c r="W178" s="59"/>
      <c r="AK178" s="3">
        <v>60</v>
      </c>
    </row>
    <row r="179" spans="2:37" ht="14.25" customHeight="1" x14ac:dyDescent="0.3">
      <c r="B179" s="59"/>
      <c r="C179" s="59"/>
      <c r="D179" s="59"/>
      <c r="E179" s="59"/>
      <c r="F179" s="59"/>
      <c r="G179" s="59"/>
      <c r="H179" s="59"/>
      <c r="I179" s="59"/>
      <c r="J179" s="59"/>
      <c r="K179" s="59"/>
      <c r="L179" s="59"/>
      <c r="M179" s="186"/>
      <c r="N179" s="186"/>
      <c r="O179" s="186"/>
      <c r="P179" s="46"/>
      <c r="Q179" s="46"/>
      <c r="R179" s="59"/>
      <c r="S179" s="59"/>
      <c r="T179" s="59"/>
      <c r="U179" s="59"/>
      <c r="V179" s="59"/>
      <c r="W179" s="59"/>
      <c r="AK179" s="3">
        <v>61</v>
      </c>
    </row>
    <row r="180" spans="2:37" ht="14.25" customHeight="1" x14ac:dyDescent="0.3">
      <c r="B180" s="59"/>
      <c r="C180" s="59"/>
      <c r="D180" s="59"/>
      <c r="E180" s="59"/>
      <c r="F180" s="59"/>
      <c r="G180" s="59"/>
      <c r="H180" s="59"/>
      <c r="I180" s="59"/>
      <c r="J180" s="59"/>
      <c r="K180" s="59"/>
      <c r="L180" s="59"/>
      <c r="M180" s="186"/>
      <c r="N180" s="186"/>
      <c r="O180" s="186"/>
      <c r="P180" s="46"/>
      <c r="Q180" s="46"/>
      <c r="R180" s="59"/>
      <c r="S180" s="59"/>
      <c r="T180" s="59"/>
      <c r="U180" s="59"/>
      <c r="V180" s="59"/>
      <c r="W180" s="59"/>
      <c r="AK180" s="3">
        <v>62</v>
      </c>
    </row>
    <row r="181" spans="2:37" ht="14.25" customHeight="1" x14ac:dyDescent="0.3">
      <c r="B181" s="59"/>
      <c r="C181" s="59"/>
      <c r="D181" s="59"/>
      <c r="E181" s="59"/>
      <c r="F181" s="59"/>
      <c r="G181" s="59"/>
      <c r="H181" s="59"/>
      <c r="I181" s="59"/>
      <c r="J181" s="59"/>
      <c r="K181" s="59"/>
      <c r="L181" s="59"/>
      <c r="M181" s="186"/>
      <c r="N181" s="186"/>
      <c r="O181" s="186"/>
      <c r="P181" s="46"/>
      <c r="Q181" s="46"/>
      <c r="R181" s="59"/>
      <c r="S181" s="59"/>
      <c r="T181" s="59"/>
      <c r="U181" s="59"/>
      <c r="V181" s="59"/>
      <c r="W181" s="59"/>
      <c r="AK181" s="3">
        <v>63</v>
      </c>
    </row>
    <row r="182" spans="2:37" ht="14.25" customHeight="1" x14ac:dyDescent="0.3">
      <c r="B182" s="59"/>
      <c r="C182" s="59"/>
      <c r="D182" s="59"/>
      <c r="E182" s="59"/>
      <c r="F182" s="59"/>
      <c r="G182" s="59"/>
      <c r="H182" s="59"/>
      <c r="I182" s="59"/>
      <c r="J182" s="59"/>
      <c r="K182" s="59"/>
      <c r="L182" s="59"/>
      <c r="M182" s="186"/>
      <c r="N182" s="186"/>
      <c r="O182" s="186"/>
      <c r="P182" s="46"/>
      <c r="Q182" s="46"/>
      <c r="R182" s="59"/>
      <c r="S182" s="59"/>
      <c r="T182" s="59"/>
      <c r="U182" s="59"/>
      <c r="V182" s="59"/>
      <c r="W182" s="59"/>
      <c r="AK182" s="3">
        <v>64</v>
      </c>
    </row>
    <row r="183" spans="2:37" ht="14.25" customHeight="1" x14ac:dyDescent="0.3">
      <c r="B183" s="59"/>
      <c r="C183" s="59"/>
      <c r="D183" s="59"/>
      <c r="E183" s="59"/>
      <c r="F183" s="59"/>
      <c r="G183" s="59"/>
      <c r="H183" s="59"/>
      <c r="I183" s="59"/>
      <c r="J183" s="59"/>
      <c r="K183" s="59"/>
      <c r="L183" s="59"/>
      <c r="M183" s="186"/>
      <c r="N183" s="186"/>
      <c r="O183" s="186"/>
      <c r="P183" s="46"/>
      <c r="Q183" s="46"/>
      <c r="R183" s="59"/>
      <c r="S183" s="59"/>
      <c r="T183" s="59"/>
      <c r="U183" s="59"/>
      <c r="V183" s="59"/>
      <c r="W183" s="59"/>
      <c r="AK183" s="3">
        <v>65</v>
      </c>
    </row>
    <row r="184" spans="2:37" ht="14.25" customHeight="1" x14ac:dyDescent="0.3">
      <c r="B184" s="59"/>
      <c r="C184" s="59"/>
      <c r="D184" s="59"/>
      <c r="E184" s="59"/>
      <c r="F184" s="59"/>
      <c r="G184" s="59"/>
      <c r="H184" s="59"/>
      <c r="I184" s="59"/>
      <c r="J184" s="59"/>
      <c r="K184" s="59"/>
      <c r="L184" s="59"/>
      <c r="M184" s="186"/>
      <c r="N184" s="186"/>
      <c r="O184" s="186"/>
      <c r="P184" s="46"/>
      <c r="Q184" s="46"/>
      <c r="R184" s="59"/>
      <c r="S184" s="59"/>
      <c r="T184" s="59"/>
      <c r="U184" s="59"/>
      <c r="V184" s="59"/>
      <c r="W184" s="59"/>
      <c r="AK184" s="3">
        <v>66</v>
      </c>
    </row>
    <row r="185" spans="2:37" ht="14.25" customHeight="1" x14ac:dyDescent="0.3">
      <c r="B185" s="59"/>
      <c r="C185" s="59"/>
      <c r="D185" s="59"/>
      <c r="E185" s="59"/>
      <c r="F185" s="59"/>
      <c r="G185" s="59"/>
      <c r="H185" s="59"/>
      <c r="I185" s="59"/>
      <c r="J185" s="59"/>
      <c r="K185" s="59"/>
      <c r="L185" s="59"/>
      <c r="M185" s="186"/>
      <c r="N185" s="186"/>
      <c r="O185" s="186"/>
      <c r="P185" s="46"/>
      <c r="Q185" s="46"/>
      <c r="R185" s="59"/>
      <c r="S185" s="59"/>
      <c r="T185" s="59"/>
      <c r="U185" s="59"/>
      <c r="V185" s="59"/>
      <c r="W185" s="59"/>
      <c r="AK185" s="3">
        <v>67</v>
      </c>
    </row>
    <row r="186" spans="2:37" ht="14.25" customHeight="1" x14ac:dyDescent="0.3">
      <c r="B186" s="59"/>
      <c r="C186" s="59"/>
      <c r="D186" s="59"/>
      <c r="E186" s="59"/>
      <c r="F186" s="59"/>
      <c r="G186" s="59"/>
      <c r="H186" s="59"/>
      <c r="I186" s="59"/>
      <c r="J186" s="59"/>
      <c r="K186" s="59"/>
      <c r="L186" s="59"/>
      <c r="M186" s="186"/>
      <c r="N186" s="186"/>
      <c r="O186" s="186"/>
      <c r="P186" s="46"/>
      <c r="Q186" s="46"/>
      <c r="R186" s="59"/>
      <c r="S186" s="59"/>
      <c r="T186" s="59"/>
      <c r="U186" s="59"/>
      <c r="V186" s="59"/>
      <c r="W186" s="59"/>
      <c r="AK186" s="3">
        <v>68</v>
      </c>
    </row>
    <row r="187" spans="2:37" ht="14.25" customHeight="1" x14ac:dyDescent="0.3">
      <c r="B187" s="59"/>
      <c r="C187" s="59"/>
      <c r="D187" s="59"/>
      <c r="E187" s="59"/>
      <c r="F187" s="59"/>
      <c r="G187" s="59"/>
      <c r="H187" s="59"/>
      <c r="I187" s="59"/>
      <c r="J187" s="59"/>
      <c r="K187" s="59"/>
      <c r="L187" s="59"/>
      <c r="M187" s="186"/>
      <c r="N187" s="186"/>
      <c r="O187" s="186"/>
      <c r="P187" s="46"/>
      <c r="Q187" s="46"/>
      <c r="R187" s="59"/>
      <c r="S187" s="59"/>
      <c r="T187" s="59"/>
      <c r="U187" s="59"/>
      <c r="V187" s="59"/>
      <c r="W187" s="59"/>
      <c r="AK187" s="3">
        <v>69</v>
      </c>
    </row>
    <row r="188" spans="2:37" ht="14.25" customHeight="1" x14ac:dyDescent="0.3">
      <c r="B188" s="59"/>
      <c r="C188" s="59"/>
      <c r="D188" s="59"/>
      <c r="E188" s="59"/>
      <c r="F188" s="59"/>
      <c r="G188" s="59"/>
      <c r="H188" s="59"/>
      <c r="I188" s="59"/>
      <c r="J188" s="59"/>
      <c r="K188" s="59"/>
      <c r="L188" s="59"/>
      <c r="M188" s="186"/>
      <c r="N188" s="186"/>
      <c r="O188" s="186"/>
      <c r="P188" s="46"/>
      <c r="Q188" s="46"/>
      <c r="R188" s="59"/>
      <c r="S188" s="59"/>
      <c r="T188" s="59"/>
      <c r="U188" s="59"/>
      <c r="V188" s="59"/>
      <c r="W188" s="59"/>
      <c r="AK188" s="3">
        <v>70</v>
      </c>
    </row>
    <row r="189" spans="2:37" ht="14.25" customHeight="1" x14ac:dyDescent="0.3">
      <c r="B189" s="59"/>
      <c r="C189" s="59"/>
      <c r="D189" s="59"/>
      <c r="E189" s="59"/>
      <c r="F189" s="59"/>
      <c r="G189" s="59"/>
      <c r="H189" s="59"/>
      <c r="I189" s="59"/>
      <c r="J189" s="59"/>
      <c r="K189" s="59"/>
      <c r="L189" s="59"/>
      <c r="M189" s="186"/>
      <c r="N189" s="186"/>
      <c r="O189" s="186"/>
      <c r="P189" s="46"/>
      <c r="Q189" s="46"/>
      <c r="R189" s="59"/>
      <c r="S189" s="59"/>
      <c r="T189" s="59"/>
      <c r="U189" s="59"/>
      <c r="V189" s="59"/>
      <c r="W189" s="59"/>
      <c r="AK189" s="3">
        <v>71</v>
      </c>
    </row>
    <row r="190" spans="2:37" ht="14.25" customHeight="1" x14ac:dyDescent="0.3">
      <c r="B190" s="59"/>
      <c r="C190" s="59"/>
      <c r="D190" s="59"/>
      <c r="E190" s="59"/>
      <c r="F190" s="59"/>
      <c r="G190" s="59"/>
      <c r="H190" s="59"/>
      <c r="I190" s="59"/>
      <c r="J190" s="59"/>
      <c r="K190" s="59"/>
      <c r="L190" s="59"/>
      <c r="M190" s="186"/>
      <c r="N190" s="186"/>
      <c r="O190" s="186"/>
      <c r="P190" s="46"/>
      <c r="Q190" s="46"/>
      <c r="R190" s="59"/>
      <c r="S190" s="59"/>
      <c r="T190" s="59"/>
      <c r="U190" s="59"/>
      <c r="V190" s="59"/>
      <c r="W190" s="59"/>
      <c r="AK190" s="3">
        <v>72</v>
      </c>
    </row>
    <row r="191" spans="2:37" ht="14.25" customHeight="1" x14ac:dyDescent="0.3">
      <c r="B191" s="59"/>
      <c r="C191" s="59"/>
      <c r="D191" s="59"/>
      <c r="E191" s="59"/>
      <c r="F191" s="59"/>
      <c r="G191" s="59"/>
      <c r="H191" s="59"/>
      <c r="I191" s="59"/>
      <c r="J191" s="59"/>
      <c r="K191" s="59"/>
      <c r="L191" s="59"/>
      <c r="M191" s="186"/>
      <c r="N191" s="186"/>
      <c r="O191" s="186"/>
      <c r="P191" s="46"/>
      <c r="Q191" s="46"/>
      <c r="R191" s="59"/>
      <c r="S191" s="59"/>
      <c r="T191" s="59"/>
      <c r="U191" s="59"/>
      <c r="V191" s="59"/>
      <c r="W191" s="59"/>
      <c r="AK191" s="3">
        <v>73</v>
      </c>
    </row>
    <row r="192" spans="2:37" ht="14.25" customHeight="1" x14ac:dyDescent="0.3">
      <c r="B192" s="59"/>
      <c r="C192" s="59"/>
      <c r="D192" s="59"/>
      <c r="E192" s="59"/>
      <c r="F192" s="59"/>
      <c r="G192" s="59"/>
      <c r="H192" s="59"/>
      <c r="I192" s="59"/>
      <c r="J192" s="59"/>
      <c r="K192" s="59"/>
      <c r="L192" s="59"/>
      <c r="M192" s="186"/>
      <c r="N192" s="186"/>
      <c r="O192" s="186"/>
      <c r="P192" s="46"/>
      <c r="Q192" s="46"/>
      <c r="R192" s="59"/>
      <c r="S192" s="59"/>
      <c r="T192" s="59"/>
      <c r="U192" s="59"/>
      <c r="V192" s="59"/>
      <c r="W192" s="59"/>
      <c r="AK192" s="3">
        <v>74</v>
      </c>
    </row>
    <row r="193" spans="2:37" ht="14.25" customHeight="1" x14ac:dyDescent="0.3">
      <c r="B193" s="59"/>
      <c r="C193" s="59"/>
      <c r="D193" s="59"/>
      <c r="E193" s="59"/>
      <c r="F193" s="59"/>
      <c r="G193" s="59"/>
      <c r="H193" s="59"/>
      <c r="I193" s="59"/>
      <c r="J193" s="59"/>
      <c r="K193" s="59"/>
      <c r="L193" s="59"/>
      <c r="M193" s="186"/>
      <c r="N193" s="186"/>
      <c r="O193" s="186"/>
      <c r="P193" s="46"/>
      <c r="Q193" s="46"/>
      <c r="R193" s="59"/>
      <c r="S193" s="59"/>
      <c r="T193" s="59"/>
      <c r="U193" s="59"/>
      <c r="V193" s="59"/>
      <c r="W193" s="59"/>
      <c r="AK193" s="3">
        <v>75</v>
      </c>
    </row>
    <row r="194" spans="2:37" ht="14.25" customHeight="1" x14ac:dyDescent="0.3">
      <c r="B194" s="59"/>
      <c r="C194" s="59"/>
      <c r="D194" s="59"/>
      <c r="E194" s="59"/>
      <c r="F194" s="59"/>
      <c r="G194" s="59"/>
      <c r="H194" s="59"/>
      <c r="I194" s="59"/>
      <c r="J194" s="59"/>
      <c r="K194" s="59"/>
      <c r="L194" s="59"/>
      <c r="M194" s="186"/>
      <c r="N194" s="186"/>
      <c r="O194" s="186"/>
      <c r="P194" s="46"/>
      <c r="Q194" s="46"/>
      <c r="R194" s="59"/>
      <c r="S194" s="59"/>
      <c r="T194" s="59"/>
      <c r="U194" s="59"/>
      <c r="V194" s="59"/>
      <c r="W194" s="59"/>
      <c r="AK194" s="3">
        <v>76</v>
      </c>
    </row>
    <row r="195" spans="2:37" ht="14.25" customHeight="1" x14ac:dyDescent="0.3">
      <c r="B195" s="59"/>
      <c r="C195" s="59"/>
      <c r="D195" s="59"/>
      <c r="E195" s="59"/>
      <c r="F195" s="59"/>
      <c r="G195" s="59"/>
      <c r="H195" s="59"/>
      <c r="I195" s="59"/>
      <c r="J195" s="59"/>
      <c r="K195" s="59"/>
      <c r="L195" s="59"/>
      <c r="M195" s="186"/>
      <c r="N195" s="186"/>
      <c r="O195" s="186"/>
      <c r="P195" s="46"/>
      <c r="Q195" s="46"/>
      <c r="R195" s="59"/>
      <c r="S195" s="59"/>
      <c r="T195" s="59"/>
      <c r="U195" s="59"/>
      <c r="V195" s="59"/>
      <c r="W195" s="59"/>
      <c r="AK195" s="3">
        <v>77</v>
      </c>
    </row>
    <row r="196" spans="2:37" ht="14.25" customHeight="1" x14ac:dyDescent="0.3">
      <c r="B196" s="59"/>
      <c r="C196" s="59"/>
      <c r="D196" s="59"/>
      <c r="E196" s="59"/>
      <c r="F196" s="59"/>
      <c r="G196" s="59"/>
      <c r="H196" s="59"/>
      <c r="I196" s="59"/>
      <c r="J196" s="59"/>
      <c r="K196" s="59"/>
      <c r="L196" s="59"/>
      <c r="M196" s="186"/>
      <c r="N196" s="186"/>
      <c r="O196" s="186"/>
      <c r="P196" s="46"/>
      <c r="Q196" s="46"/>
      <c r="R196" s="59"/>
      <c r="S196" s="59"/>
      <c r="T196" s="59"/>
      <c r="U196" s="59"/>
      <c r="V196" s="59"/>
      <c r="W196" s="59"/>
      <c r="AK196" s="3">
        <v>78</v>
      </c>
    </row>
    <row r="197" spans="2:37" ht="14.25" customHeight="1" x14ac:dyDescent="0.3">
      <c r="B197" s="59"/>
      <c r="C197" s="59"/>
      <c r="D197" s="59"/>
      <c r="E197" s="59"/>
      <c r="F197" s="59"/>
      <c r="G197" s="59"/>
      <c r="H197" s="59"/>
      <c r="I197" s="59"/>
      <c r="J197" s="59"/>
      <c r="K197" s="59"/>
      <c r="L197" s="59"/>
      <c r="M197" s="186"/>
      <c r="N197" s="186"/>
      <c r="O197" s="186"/>
      <c r="P197" s="46"/>
      <c r="Q197" s="46"/>
      <c r="R197" s="59"/>
      <c r="S197" s="59"/>
      <c r="T197" s="59"/>
      <c r="U197" s="59"/>
      <c r="V197" s="59"/>
      <c r="W197" s="59"/>
      <c r="AK197" s="3">
        <v>79</v>
      </c>
    </row>
    <row r="198" spans="2:37" ht="14.25" customHeight="1" x14ac:dyDescent="0.3">
      <c r="B198" s="59"/>
      <c r="C198" s="59"/>
      <c r="D198" s="59"/>
      <c r="E198" s="59"/>
      <c r="F198" s="59"/>
      <c r="G198" s="59"/>
      <c r="H198" s="59"/>
      <c r="I198" s="59"/>
      <c r="J198" s="59"/>
      <c r="K198" s="59"/>
      <c r="L198" s="59"/>
      <c r="M198" s="186"/>
      <c r="N198" s="186"/>
      <c r="O198" s="186"/>
      <c r="P198" s="46"/>
      <c r="Q198" s="46"/>
      <c r="R198" s="59"/>
      <c r="S198" s="59"/>
      <c r="T198" s="59"/>
      <c r="U198" s="59"/>
      <c r="V198" s="59"/>
      <c r="W198" s="59"/>
      <c r="AK198" s="3">
        <v>80</v>
      </c>
    </row>
    <row r="199" spans="2:37" ht="14.25" customHeight="1" x14ac:dyDescent="0.3">
      <c r="B199" s="59"/>
      <c r="C199" s="59"/>
      <c r="D199" s="59"/>
      <c r="E199" s="59"/>
      <c r="F199" s="59"/>
      <c r="G199" s="59"/>
      <c r="H199" s="59"/>
      <c r="I199" s="59"/>
      <c r="J199" s="59"/>
      <c r="K199" s="59"/>
      <c r="L199" s="59"/>
      <c r="M199" s="186"/>
      <c r="N199" s="186"/>
      <c r="O199" s="186"/>
      <c r="P199" s="46"/>
      <c r="Q199" s="46"/>
      <c r="R199" s="59"/>
      <c r="S199" s="59"/>
      <c r="T199" s="59"/>
      <c r="U199" s="59"/>
      <c r="V199" s="59"/>
      <c r="W199" s="59"/>
      <c r="AK199" s="3">
        <v>81</v>
      </c>
    </row>
    <row r="200" spans="2:37" ht="14.25" customHeight="1" x14ac:dyDescent="0.3">
      <c r="B200" s="59"/>
      <c r="C200" s="59"/>
      <c r="D200" s="59"/>
      <c r="E200" s="59"/>
      <c r="F200" s="59"/>
      <c r="G200" s="59"/>
      <c r="H200" s="59"/>
      <c r="I200" s="59"/>
      <c r="J200" s="59"/>
      <c r="K200" s="59"/>
      <c r="L200" s="59"/>
      <c r="M200" s="186"/>
      <c r="N200" s="186"/>
      <c r="O200" s="186"/>
      <c r="P200" s="46"/>
      <c r="Q200" s="46"/>
      <c r="R200" s="59"/>
      <c r="S200" s="59"/>
      <c r="T200" s="59"/>
      <c r="U200" s="59"/>
      <c r="V200" s="59"/>
      <c r="W200" s="59"/>
      <c r="AK200" s="3">
        <v>82</v>
      </c>
    </row>
    <row r="201" spans="2:37" ht="14.25" customHeight="1" x14ac:dyDescent="0.3">
      <c r="B201" s="59"/>
      <c r="C201" s="59"/>
      <c r="D201" s="59"/>
      <c r="E201" s="59"/>
      <c r="F201" s="59"/>
      <c r="G201" s="59"/>
      <c r="H201" s="59"/>
      <c r="I201" s="59"/>
      <c r="J201" s="59"/>
      <c r="K201" s="59"/>
      <c r="L201" s="59"/>
      <c r="M201" s="186"/>
      <c r="N201" s="186"/>
      <c r="O201" s="186"/>
      <c r="P201" s="46"/>
      <c r="Q201" s="46"/>
      <c r="R201" s="59"/>
      <c r="S201" s="59"/>
      <c r="T201" s="59"/>
      <c r="U201" s="59"/>
      <c r="V201" s="59"/>
      <c r="W201" s="59"/>
      <c r="AK201" s="3">
        <v>83</v>
      </c>
    </row>
    <row r="202" spans="2:37" ht="14.25" customHeight="1" x14ac:dyDescent="0.3">
      <c r="B202" s="59"/>
      <c r="C202" s="59"/>
      <c r="D202" s="59"/>
      <c r="E202" s="59"/>
      <c r="F202" s="59"/>
      <c r="G202" s="59"/>
      <c r="H202" s="59"/>
      <c r="I202" s="59"/>
      <c r="J202" s="59"/>
      <c r="K202" s="59"/>
      <c r="L202" s="59"/>
      <c r="M202" s="186"/>
      <c r="N202" s="186"/>
      <c r="O202" s="186"/>
      <c r="P202" s="46"/>
      <c r="Q202" s="46"/>
      <c r="R202" s="59"/>
      <c r="S202" s="59"/>
      <c r="T202" s="59"/>
      <c r="U202" s="59"/>
      <c r="V202" s="59"/>
      <c r="W202" s="59"/>
      <c r="AK202" s="3">
        <v>84</v>
      </c>
    </row>
    <row r="203" spans="2:37" ht="14.25" customHeight="1" x14ac:dyDescent="0.3">
      <c r="B203" s="59"/>
      <c r="C203" s="59"/>
      <c r="D203" s="59"/>
      <c r="E203" s="59"/>
      <c r="F203" s="59"/>
      <c r="G203" s="59"/>
      <c r="H203" s="59"/>
      <c r="I203" s="59"/>
      <c r="J203" s="59"/>
      <c r="K203" s="59"/>
      <c r="L203" s="59"/>
      <c r="M203" s="186"/>
      <c r="N203" s="186"/>
      <c r="O203" s="186"/>
      <c r="P203" s="46"/>
      <c r="Q203" s="46"/>
      <c r="R203" s="59"/>
      <c r="S203" s="59"/>
      <c r="T203" s="59"/>
      <c r="U203" s="59"/>
      <c r="V203" s="59"/>
      <c r="W203" s="59"/>
      <c r="AK203" s="3">
        <v>85</v>
      </c>
    </row>
    <row r="204" spans="2:37" ht="14.25" customHeight="1" x14ac:dyDescent="0.3">
      <c r="B204" s="59"/>
      <c r="C204" s="59"/>
      <c r="D204" s="59"/>
      <c r="E204" s="59"/>
      <c r="F204" s="59"/>
      <c r="G204" s="59"/>
      <c r="H204" s="59"/>
      <c r="I204" s="59"/>
      <c r="J204" s="59"/>
      <c r="K204" s="59"/>
      <c r="L204" s="59"/>
      <c r="M204" s="186"/>
      <c r="N204" s="186"/>
      <c r="O204" s="186"/>
      <c r="P204" s="46"/>
      <c r="Q204" s="46"/>
      <c r="R204" s="59"/>
      <c r="S204" s="59"/>
      <c r="T204" s="59"/>
      <c r="U204" s="59"/>
      <c r="V204" s="59"/>
      <c r="W204" s="59"/>
      <c r="AK204" s="3">
        <v>86</v>
      </c>
    </row>
    <row r="205" spans="2:37" ht="14.25" customHeight="1" x14ac:dyDescent="0.3">
      <c r="B205" s="59"/>
      <c r="C205" s="59"/>
      <c r="D205" s="59"/>
      <c r="E205" s="59"/>
      <c r="F205" s="59"/>
      <c r="G205" s="59"/>
      <c r="H205" s="59"/>
      <c r="I205" s="59"/>
      <c r="J205" s="59"/>
      <c r="K205" s="59"/>
      <c r="L205" s="59"/>
      <c r="M205" s="186"/>
      <c r="N205" s="186"/>
      <c r="O205" s="186"/>
      <c r="P205" s="46"/>
      <c r="Q205" s="46"/>
      <c r="R205" s="59"/>
      <c r="S205" s="59"/>
      <c r="T205" s="59"/>
      <c r="U205" s="59"/>
      <c r="V205" s="59"/>
      <c r="W205" s="59"/>
      <c r="AK205" s="3">
        <v>87</v>
      </c>
    </row>
    <row r="206" spans="2:37" ht="14.25" customHeight="1" x14ac:dyDescent="0.3">
      <c r="B206" s="59"/>
      <c r="C206" s="59"/>
      <c r="D206" s="59"/>
      <c r="E206" s="59"/>
      <c r="F206" s="59"/>
      <c r="G206" s="59"/>
      <c r="H206" s="59"/>
      <c r="I206" s="59"/>
      <c r="J206" s="59"/>
      <c r="K206" s="59"/>
      <c r="L206" s="59"/>
      <c r="M206" s="186"/>
      <c r="N206" s="186"/>
      <c r="O206" s="186"/>
      <c r="P206" s="46"/>
      <c r="Q206" s="46"/>
      <c r="R206" s="59"/>
      <c r="S206" s="59"/>
      <c r="T206" s="59"/>
      <c r="U206" s="59"/>
      <c r="V206" s="59"/>
      <c r="W206" s="59"/>
      <c r="AK206" s="3">
        <v>88</v>
      </c>
    </row>
    <row r="207" spans="2:37" ht="14.25" customHeight="1" x14ac:dyDescent="0.3">
      <c r="B207" s="59"/>
      <c r="C207" s="59"/>
      <c r="D207" s="59"/>
      <c r="E207" s="59"/>
      <c r="F207" s="59"/>
      <c r="G207" s="59"/>
      <c r="H207" s="59"/>
      <c r="I207" s="59"/>
      <c r="J207" s="59"/>
      <c r="K207" s="59"/>
      <c r="L207" s="59"/>
      <c r="M207" s="186"/>
      <c r="N207" s="186"/>
      <c r="O207" s="186"/>
      <c r="P207" s="46"/>
      <c r="Q207" s="46"/>
      <c r="R207" s="59"/>
      <c r="S207" s="59"/>
      <c r="T207" s="59"/>
      <c r="U207" s="59"/>
      <c r="V207" s="59"/>
      <c r="W207" s="59"/>
      <c r="AK207" s="3">
        <v>89</v>
      </c>
    </row>
    <row r="208" spans="2:37" ht="14.25" customHeight="1" x14ac:dyDescent="0.3">
      <c r="B208" s="59"/>
      <c r="C208" s="59"/>
      <c r="D208" s="59"/>
      <c r="E208" s="59"/>
      <c r="F208" s="59"/>
      <c r="G208" s="59"/>
      <c r="H208" s="59"/>
      <c r="I208" s="59"/>
      <c r="J208" s="59"/>
      <c r="K208" s="59"/>
      <c r="L208" s="59"/>
      <c r="M208" s="186"/>
      <c r="N208" s="186"/>
      <c r="O208" s="186"/>
      <c r="P208" s="46"/>
      <c r="Q208" s="46"/>
      <c r="R208" s="59"/>
      <c r="S208" s="59"/>
      <c r="T208" s="59"/>
      <c r="U208" s="59"/>
      <c r="V208" s="59"/>
      <c r="W208" s="59"/>
      <c r="AK208" s="3">
        <v>90</v>
      </c>
    </row>
    <row r="209" spans="2:37" ht="14.25" customHeight="1" x14ac:dyDescent="0.3">
      <c r="B209" s="59"/>
      <c r="C209" s="59"/>
      <c r="D209" s="59"/>
      <c r="E209" s="59"/>
      <c r="F209" s="59"/>
      <c r="G209" s="59"/>
      <c r="H209" s="59"/>
      <c r="I209" s="59"/>
      <c r="J209" s="59"/>
      <c r="K209" s="59"/>
      <c r="L209" s="59"/>
      <c r="M209" s="186"/>
      <c r="N209" s="186"/>
      <c r="O209" s="186"/>
      <c r="P209" s="46"/>
      <c r="Q209" s="46"/>
      <c r="R209" s="59"/>
      <c r="S209" s="59"/>
      <c r="T209" s="59"/>
      <c r="U209" s="59"/>
      <c r="V209" s="59"/>
      <c r="W209" s="59"/>
      <c r="AK209" s="3">
        <v>91</v>
      </c>
    </row>
    <row r="210" spans="2:37" ht="14.25" customHeight="1" x14ac:dyDescent="0.3">
      <c r="B210" s="59"/>
      <c r="C210" s="59"/>
      <c r="D210" s="59"/>
      <c r="E210" s="59"/>
      <c r="F210" s="59"/>
      <c r="G210" s="59"/>
      <c r="H210" s="59"/>
      <c r="I210" s="59"/>
      <c r="J210" s="59"/>
      <c r="K210" s="59"/>
      <c r="L210" s="59"/>
      <c r="M210" s="186"/>
      <c r="N210" s="186"/>
      <c r="O210" s="186"/>
      <c r="P210" s="46"/>
      <c r="Q210" s="46"/>
      <c r="R210" s="59"/>
      <c r="S210" s="59"/>
      <c r="T210" s="59"/>
      <c r="U210" s="59"/>
      <c r="V210" s="59"/>
      <c r="W210" s="59"/>
      <c r="AK210" s="3">
        <v>92</v>
      </c>
    </row>
    <row r="211" spans="2:37" ht="14.25" customHeight="1" x14ac:dyDescent="0.3">
      <c r="B211" s="59"/>
      <c r="C211" s="59"/>
      <c r="D211" s="59"/>
      <c r="E211" s="59"/>
      <c r="F211" s="59"/>
      <c r="G211" s="59"/>
      <c r="H211" s="59"/>
      <c r="I211" s="59"/>
      <c r="J211" s="59"/>
      <c r="K211" s="59"/>
      <c r="L211" s="59"/>
      <c r="M211" s="186"/>
      <c r="N211" s="186"/>
      <c r="O211" s="186"/>
      <c r="P211" s="46"/>
      <c r="Q211" s="46"/>
      <c r="R211" s="59"/>
      <c r="S211" s="59"/>
      <c r="T211" s="59"/>
      <c r="U211" s="59"/>
      <c r="V211" s="59"/>
      <c r="W211" s="59"/>
      <c r="AK211" s="3">
        <v>93</v>
      </c>
    </row>
    <row r="212" spans="2:37" ht="14.25" customHeight="1" x14ac:dyDescent="0.3">
      <c r="B212" s="59"/>
      <c r="C212" s="59"/>
      <c r="D212" s="59"/>
      <c r="E212" s="59"/>
      <c r="F212" s="59"/>
      <c r="G212" s="59"/>
      <c r="H212" s="59"/>
      <c r="I212" s="59"/>
      <c r="J212" s="59"/>
      <c r="K212" s="59"/>
      <c r="L212" s="59"/>
      <c r="M212" s="186"/>
      <c r="N212" s="186"/>
      <c r="O212" s="186"/>
      <c r="P212" s="46"/>
      <c r="Q212" s="46"/>
      <c r="R212" s="59"/>
      <c r="S212" s="59"/>
      <c r="T212" s="59"/>
      <c r="U212" s="59"/>
      <c r="V212" s="59"/>
      <c r="W212" s="59"/>
      <c r="AK212" s="3">
        <v>94</v>
      </c>
    </row>
    <row r="213" spans="2:37" ht="14.25" customHeight="1" x14ac:dyDescent="0.3">
      <c r="B213" s="59"/>
      <c r="C213" s="59"/>
      <c r="D213" s="59"/>
      <c r="E213" s="59"/>
      <c r="F213" s="59"/>
      <c r="G213" s="59"/>
      <c r="H213" s="59"/>
      <c r="I213" s="59"/>
      <c r="J213" s="59"/>
      <c r="K213" s="59"/>
      <c r="L213" s="59"/>
      <c r="M213" s="186"/>
      <c r="N213" s="186"/>
      <c r="O213" s="186"/>
      <c r="P213" s="46"/>
      <c r="Q213" s="46"/>
      <c r="R213" s="59"/>
      <c r="S213" s="59"/>
      <c r="T213" s="59"/>
      <c r="U213" s="59"/>
      <c r="V213" s="59"/>
      <c r="W213" s="59"/>
      <c r="AK213" s="3">
        <v>95</v>
      </c>
    </row>
    <row r="214" spans="2:37" ht="14.25" customHeight="1" x14ac:dyDescent="0.3">
      <c r="B214" s="59"/>
      <c r="C214" s="59"/>
      <c r="D214" s="59"/>
      <c r="E214" s="59"/>
      <c r="F214" s="59"/>
      <c r="G214" s="59"/>
      <c r="H214" s="59"/>
      <c r="I214" s="59"/>
      <c r="J214" s="59"/>
      <c r="K214" s="59"/>
      <c r="L214" s="59"/>
      <c r="M214" s="186"/>
      <c r="N214" s="186"/>
      <c r="O214" s="186"/>
      <c r="P214" s="46"/>
      <c r="Q214" s="46"/>
      <c r="R214" s="59"/>
      <c r="S214" s="59"/>
      <c r="T214" s="59"/>
      <c r="U214" s="59"/>
      <c r="V214" s="59"/>
      <c r="W214" s="59"/>
      <c r="AK214" s="3">
        <v>96</v>
      </c>
    </row>
    <row r="215" spans="2:37" ht="14.25" customHeight="1" x14ac:dyDescent="0.3">
      <c r="B215" s="59"/>
      <c r="C215" s="59"/>
      <c r="D215" s="59"/>
      <c r="E215" s="59"/>
      <c r="F215" s="59"/>
      <c r="G215" s="59"/>
      <c r="H215" s="59"/>
      <c r="I215" s="59"/>
      <c r="J215" s="59"/>
      <c r="K215" s="59"/>
      <c r="L215" s="59"/>
      <c r="M215" s="186"/>
      <c r="N215" s="186"/>
      <c r="O215" s="186"/>
      <c r="P215" s="46"/>
      <c r="Q215" s="46"/>
      <c r="R215" s="59"/>
      <c r="S215" s="59"/>
      <c r="T215" s="59"/>
      <c r="U215" s="59"/>
      <c r="V215" s="59"/>
      <c r="W215" s="59"/>
      <c r="AK215" s="3">
        <v>97</v>
      </c>
    </row>
    <row r="216" spans="2:37" ht="14.25" customHeight="1" x14ac:dyDescent="0.3">
      <c r="B216" s="59"/>
      <c r="C216" s="59"/>
      <c r="D216" s="59"/>
      <c r="E216" s="59"/>
      <c r="F216" s="59"/>
      <c r="G216" s="59"/>
      <c r="H216" s="59"/>
      <c r="I216" s="59"/>
      <c r="J216" s="59"/>
      <c r="K216" s="59"/>
      <c r="L216" s="59"/>
      <c r="M216" s="186"/>
      <c r="N216" s="186"/>
      <c r="O216" s="186"/>
      <c r="P216" s="46"/>
      <c r="Q216" s="46"/>
      <c r="R216" s="59"/>
      <c r="S216" s="59"/>
      <c r="T216" s="59"/>
      <c r="U216" s="59"/>
      <c r="V216" s="59"/>
      <c r="W216" s="59"/>
      <c r="AK216" s="3">
        <v>98</v>
      </c>
    </row>
    <row r="217" spans="2:37" ht="14.25" customHeight="1" x14ac:dyDescent="0.3">
      <c r="B217" s="59"/>
      <c r="C217" s="59"/>
      <c r="D217" s="59"/>
      <c r="E217" s="59"/>
      <c r="F217" s="59"/>
      <c r="G217" s="59"/>
      <c r="H217" s="59"/>
      <c r="I217" s="59"/>
      <c r="J217" s="59"/>
      <c r="K217" s="59"/>
      <c r="L217" s="59"/>
      <c r="M217" s="186"/>
      <c r="N217" s="186"/>
      <c r="O217" s="186"/>
      <c r="P217" s="46"/>
      <c r="Q217" s="46"/>
      <c r="R217" s="59"/>
      <c r="S217" s="59"/>
      <c r="T217" s="59"/>
      <c r="U217" s="59"/>
      <c r="V217" s="59"/>
      <c r="W217" s="59"/>
      <c r="AK217" s="3">
        <v>99</v>
      </c>
    </row>
    <row r="218" spans="2:37" ht="14.25" customHeight="1" x14ac:dyDescent="0.3">
      <c r="B218" s="59"/>
      <c r="C218" s="59"/>
      <c r="D218" s="59"/>
      <c r="E218" s="59"/>
      <c r="F218" s="59"/>
      <c r="G218" s="59"/>
      <c r="H218" s="59"/>
      <c r="I218" s="59"/>
      <c r="J218" s="59"/>
      <c r="K218" s="59"/>
      <c r="L218" s="59"/>
      <c r="M218" s="186"/>
      <c r="N218" s="186"/>
      <c r="O218" s="186"/>
      <c r="P218" s="46"/>
      <c r="Q218" s="46"/>
      <c r="R218" s="59"/>
      <c r="S218" s="59"/>
      <c r="T218" s="59"/>
      <c r="U218" s="59"/>
      <c r="V218" s="59"/>
      <c r="W218" s="59"/>
      <c r="AK218" s="3">
        <v>100</v>
      </c>
    </row>
    <row r="219" spans="2:37" ht="14.25" customHeight="1" x14ac:dyDescent="0.3">
      <c r="B219" s="59"/>
      <c r="C219" s="59"/>
      <c r="D219" s="59"/>
      <c r="E219" s="59"/>
      <c r="F219" s="59"/>
      <c r="G219" s="59"/>
      <c r="H219" s="59"/>
      <c r="I219" s="59"/>
      <c r="J219" s="59"/>
      <c r="K219" s="59"/>
      <c r="L219" s="59"/>
      <c r="M219" s="186"/>
      <c r="N219" s="186"/>
      <c r="O219" s="186"/>
      <c r="P219" s="46"/>
      <c r="Q219" s="46"/>
      <c r="R219" s="59"/>
      <c r="S219" s="59"/>
      <c r="T219" s="59"/>
      <c r="U219" s="59"/>
      <c r="V219" s="59"/>
      <c r="W219" s="59"/>
      <c r="AK219" s="3">
        <v>101</v>
      </c>
    </row>
    <row r="220" spans="2:37" ht="14.25" customHeight="1" x14ac:dyDescent="0.3">
      <c r="B220" s="59"/>
      <c r="C220" s="59"/>
      <c r="D220" s="59"/>
      <c r="E220" s="59"/>
      <c r="F220" s="59"/>
      <c r="G220" s="59"/>
      <c r="H220" s="59"/>
      <c r="I220" s="59"/>
      <c r="J220" s="59"/>
      <c r="K220" s="59"/>
      <c r="L220" s="59"/>
      <c r="M220" s="186"/>
      <c r="N220" s="186"/>
      <c r="O220" s="186"/>
      <c r="P220" s="46"/>
      <c r="Q220" s="46"/>
      <c r="R220" s="59"/>
      <c r="S220" s="59"/>
      <c r="T220" s="59"/>
      <c r="U220" s="59"/>
      <c r="V220" s="59"/>
      <c r="W220" s="59"/>
      <c r="AK220" s="3">
        <v>102</v>
      </c>
    </row>
    <row r="221" spans="2:37" ht="14.25" customHeight="1" x14ac:dyDescent="0.3">
      <c r="B221" s="59"/>
      <c r="C221" s="59"/>
      <c r="D221" s="59"/>
      <c r="E221" s="59"/>
      <c r="F221" s="59"/>
      <c r="G221" s="59"/>
      <c r="H221" s="59"/>
      <c r="I221" s="59"/>
      <c r="J221" s="59"/>
      <c r="K221" s="59"/>
      <c r="L221" s="59"/>
      <c r="M221" s="186"/>
      <c r="N221" s="186"/>
      <c r="O221" s="186"/>
      <c r="P221" s="46"/>
      <c r="Q221" s="46"/>
      <c r="R221" s="59"/>
      <c r="S221" s="59"/>
      <c r="T221" s="59"/>
      <c r="U221" s="59"/>
      <c r="V221" s="59"/>
      <c r="W221" s="59"/>
      <c r="AK221" s="3">
        <v>103</v>
      </c>
    </row>
    <row r="222" spans="2:37" ht="14.25" customHeight="1" x14ac:dyDescent="0.3">
      <c r="B222" s="59"/>
      <c r="C222" s="59"/>
      <c r="D222" s="59"/>
      <c r="E222" s="59"/>
      <c r="F222" s="59"/>
      <c r="G222" s="59"/>
      <c r="H222" s="59"/>
      <c r="I222" s="59"/>
      <c r="J222" s="59"/>
      <c r="K222" s="59"/>
      <c r="L222" s="59"/>
      <c r="M222" s="186"/>
      <c r="N222" s="186"/>
      <c r="O222" s="186"/>
      <c r="P222" s="46"/>
      <c r="Q222" s="46"/>
      <c r="R222" s="59"/>
      <c r="S222" s="59"/>
      <c r="T222" s="59"/>
      <c r="U222" s="59"/>
      <c r="V222" s="59"/>
      <c r="W222" s="59"/>
      <c r="AK222" s="3">
        <v>104</v>
      </c>
    </row>
    <row r="223" spans="2:37" ht="14.25" customHeight="1" x14ac:dyDescent="0.3">
      <c r="B223" s="59"/>
      <c r="C223" s="59"/>
      <c r="D223" s="59"/>
      <c r="E223" s="59"/>
      <c r="F223" s="59"/>
      <c r="G223" s="59"/>
      <c r="H223" s="59"/>
      <c r="I223" s="59"/>
      <c r="J223" s="59"/>
      <c r="K223" s="59"/>
      <c r="L223" s="59"/>
      <c r="M223" s="186"/>
      <c r="N223" s="186"/>
      <c r="O223" s="186"/>
      <c r="P223" s="46"/>
      <c r="Q223" s="46"/>
      <c r="R223" s="59"/>
      <c r="S223" s="59"/>
      <c r="T223" s="59"/>
      <c r="U223" s="59"/>
      <c r="V223" s="59"/>
      <c r="W223" s="59"/>
      <c r="AK223" s="3">
        <v>105</v>
      </c>
    </row>
    <row r="224" spans="2:37" ht="14.25" customHeight="1" x14ac:dyDescent="0.3">
      <c r="B224" s="59"/>
      <c r="C224" s="59"/>
      <c r="D224" s="59"/>
      <c r="E224" s="59"/>
      <c r="F224" s="59"/>
      <c r="G224" s="59"/>
      <c r="H224" s="59"/>
      <c r="I224" s="59"/>
      <c r="J224" s="59"/>
      <c r="K224" s="59"/>
      <c r="L224" s="59"/>
      <c r="M224" s="186"/>
      <c r="N224" s="186"/>
      <c r="O224" s="186"/>
      <c r="P224" s="46"/>
      <c r="Q224" s="46"/>
      <c r="R224" s="59"/>
      <c r="S224" s="59"/>
      <c r="T224" s="59"/>
      <c r="U224" s="59"/>
      <c r="V224" s="59"/>
      <c r="W224" s="59"/>
      <c r="AK224" s="3">
        <v>106</v>
      </c>
    </row>
    <row r="225" spans="2:37" ht="14.25" customHeight="1" x14ac:dyDescent="0.3">
      <c r="B225" s="59"/>
      <c r="C225" s="59"/>
      <c r="D225" s="59"/>
      <c r="E225" s="59"/>
      <c r="F225" s="59"/>
      <c r="G225" s="59"/>
      <c r="H225" s="59"/>
      <c r="I225" s="59"/>
      <c r="J225" s="59"/>
      <c r="K225" s="59"/>
      <c r="L225" s="59"/>
      <c r="M225" s="186"/>
      <c r="N225" s="186"/>
      <c r="O225" s="186"/>
      <c r="P225" s="46"/>
      <c r="Q225" s="46"/>
      <c r="R225" s="59"/>
      <c r="S225" s="59"/>
      <c r="T225" s="59"/>
      <c r="U225" s="59"/>
      <c r="V225" s="59"/>
      <c r="W225" s="59"/>
      <c r="AK225" s="3">
        <v>107</v>
      </c>
    </row>
    <row r="226" spans="2:37" ht="14.25" customHeight="1" x14ac:dyDescent="0.3">
      <c r="B226" s="59"/>
      <c r="C226" s="59"/>
      <c r="D226" s="59"/>
      <c r="E226" s="59"/>
      <c r="F226" s="59"/>
      <c r="G226" s="59"/>
      <c r="H226" s="59"/>
      <c r="I226" s="59"/>
      <c r="J226" s="59"/>
      <c r="K226" s="59"/>
      <c r="L226" s="59"/>
      <c r="M226" s="186"/>
      <c r="N226" s="186"/>
      <c r="O226" s="186"/>
      <c r="P226" s="46"/>
      <c r="Q226" s="46"/>
      <c r="R226" s="59"/>
      <c r="S226" s="59"/>
      <c r="T226" s="59"/>
      <c r="U226" s="59"/>
      <c r="V226" s="59"/>
      <c r="W226" s="59"/>
      <c r="AK226" s="3">
        <v>108</v>
      </c>
    </row>
    <row r="227" spans="2:37" ht="14.25" customHeight="1" x14ac:dyDescent="0.3">
      <c r="B227" s="59"/>
      <c r="C227" s="59"/>
      <c r="D227" s="59"/>
      <c r="E227" s="59"/>
      <c r="F227" s="59"/>
      <c r="G227" s="59"/>
      <c r="H227" s="59"/>
      <c r="I227" s="59"/>
      <c r="J227" s="59"/>
      <c r="K227" s="59"/>
      <c r="L227" s="59"/>
      <c r="M227" s="186"/>
      <c r="N227" s="186"/>
      <c r="O227" s="186"/>
      <c r="P227" s="46"/>
      <c r="Q227" s="46"/>
      <c r="R227" s="59"/>
      <c r="S227" s="59"/>
      <c r="T227" s="59"/>
      <c r="U227" s="59"/>
      <c r="V227" s="59"/>
      <c r="W227" s="59"/>
      <c r="AK227" s="3">
        <v>109</v>
      </c>
    </row>
    <row r="228" spans="2:37" ht="14.25" customHeight="1" x14ac:dyDescent="0.3">
      <c r="B228" s="59"/>
      <c r="C228" s="59"/>
      <c r="D228" s="59"/>
      <c r="E228" s="59"/>
      <c r="F228" s="59"/>
      <c r="G228" s="59"/>
      <c r="H228" s="59"/>
      <c r="I228" s="59"/>
      <c r="J228" s="59"/>
      <c r="K228" s="59"/>
      <c r="L228" s="59"/>
      <c r="M228" s="186"/>
      <c r="N228" s="186"/>
      <c r="O228" s="186"/>
      <c r="P228" s="46"/>
      <c r="Q228" s="46"/>
      <c r="R228" s="59"/>
      <c r="S228" s="59"/>
      <c r="T228" s="59"/>
      <c r="U228" s="59"/>
      <c r="V228" s="59"/>
      <c r="W228" s="59"/>
      <c r="AK228" s="3">
        <v>110</v>
      </c>
    </row>
    <row r="229" spans="2:37" ht="14.25" customHeight="1" x14ac:dyDescent="0.3">
      <c r="B229" s="59"/>
      <c r="C229" s="59"/>
      <c r="D229" s="59"/>
      <c r="E229" s="59"/>
      <c r="F229" s="59"/>
      <c r="G229" s="59"/>
      <c r="H229" s="59"/>
      <c r="I229" s="59"/>
      <c r="J229" s="59"/>
      <c r="K229" s="59"/>
      <c r="L229" s="59"/>
      <c r="M229" s="186"/>
      <c r="N229" s="186"/>
      <c r="O229" s="186"/>
      <c r="P229" s="46"/>
      <c r="Q229" s="46"/>
      <c r="R229" s="59"/>
      <c r="S229" s="59"/>
      <c r="T229" s="59"/>
      <c r="U229" s="59"/>
      <c r="V229" s="59"/>
      <c r="W229" s="59"/>
      <c r="AK229" s="3">
        <v>111</v>
      </c>
    </row>
    <row r="230" spans="2:37" ht="14.25" customHeight="1" x14ac:dyDescent="0.3">
      <c r="B230" s="59"/>
      <c r="C230" s="59"/>
      <c r="D230" s="59"/>
      <c r="E230" s="59"/>
      <c r="F230" s="59"/>
      <c r="G230" s="59"/>
      <c r="H230" s="59"/>
      <c r="I230" s="59"/>
      <c r="J230" s="59"/>
      <c r="K230" s="59"/>
      <c r="L230" s="59"/>
      <c r="M230" s="186"/>
      <c r="N230" s="186"/>
      <c r="O230" s="186"/>
      <c r="P230" s="46"/>
      <c r="Q230" s="46"/>
      <c r="R230" s="59"/>
      <c r="S230" s="59"/>
      <c r="T230" s="59"/>
      <c r="U230" s="59"/>
      <c r="V230" s="59"/>
      <c r="W230" s="59"/>
      <c r="AK230" s="3">
        <v>112</v>
      </c>
    </row>
    <row r="231" spans="2:37" ht="14.25" customHeight="1" x14ac:dyDescent="0.3">
      <c r="B231" s="59"/>
      <c r="C231" s="59"/>
      <c r="D231" s="59"/>
      <c r="E231" s="59"/>
      <c r="F231" s="59"/>
      <c r="G231" s="59"/>
      <c r="H231" s="59"/>
      <c r="I231" s="59"/>
      <c r="J231" s="59"/>
      <c r="K231" s="59"/>
      <c r="L231" s="59"/>
      <c r="M231" s="186"/>
      <c r="N231" s="186"/>
      <c r="O231" s="186"/>
      <c r="P231" s="46"/>
      <c r="Q231" s="46"/>
      <c r="R231" s="59"/>
      <c r="S231" s="59"/>
      <c r="T231" s="59"/>
      <c r="U231" s="59"/>
      <c r="V231" s="59"/>
      <c r="W231" s="59"/>
      <c r="AK231" s="3">
        <v>113</v>
      </c>
    </row>
    <row r="232" spans="2:37" ht="14.25" customHeight="1" x14ac:dyDescent="0.3">
      <c r="B232" s="59"/>
      <c r="C232" s="59"/>
      <c r="D232" s="59"/>
      <c r="E232" s="59"/>
      <c r="F232" s="59"/>
      <c r="G232" s="59"/>
      <c r="H232" s="59"/>
      <c r="I232" s="59"/>
      <c r="J232" s="59"/>
      <c r="K232" s="59"/>
      <c r="L232" s="59"/>
      <c r="M232" s="186"/>
      <c r="N232" s="186"/>
      <c r="O232" s="186"/>
      <c r="P232" s="46"/>
      <c r="Q232" s="46"/>
      <c r="R232" s="59"/>
      <c r="S232" s="59"/>
      <c r="T232" s="59"/>
      <c r="U232" s="59"/>
      <c r="V232" s="59"/>
      <c r="W232" s="59"/>
      <c r="AK232" s="3">
        <v>114</v>
      </c>
    </row>
    <row r="233" spans="2:37" ht="14.25" customHeight="1" x14ac:dyDescent="0.3">
      <c r="B233" s="59"/>
      <c r="C233" s="59"/>
      <c r="D233" s="59"/>
      <c r="E233" s="59"/>
      <c r="F233" s="59"/>
      <c r="G233" s="59"/>
      <c r="H233" s="59"/>
      <c r="I233" s="59"/>
      <c r="J233" s="59"/>
      <c r="K233" s="59"/>
      <c r="L233" s="59"/>
      <c r="M233" s="186"/>
      <c r="N233" s="186"/>
      <c r="O233" s="186"/>
      <c r="P233" s="46"/>
      <c r="Q233" s="46"/>
      <c r="R233" s="59"/>
      <c r="S233" s="59"/>
      <c r="T233" s="59"/>
      <c r="U233" s="59"/>
      <c r="V233" s="59"/>
      <c r="W233" s="59"/>
      <c r="AK233" s="3">
        <v>115</v>
      </c>
    </row>
    <row r="234" spans="2:37" ht="14.25" customHeight="1" x14ac:dyDescent="0.3">
      <c r="B234" s="59"/>
      <c r="C234" s="59"/>
      <c r="D234" s="59"/>
      <c r="E234" s="59"/>
      <c r="F234" s="59"/>
      <c r="G234" s="59"/>
      <c r="H234" s="59"/>
      <c r="I234" s="59"/>
      <c r="J234" s="59"/>
      <c r="K234" s="59"/>
      <c r="L234" s="59"/>
      <c r="M234" s="186"/>
      <c r="N234" s="186"/>
      <c r="O234" s="186"/>
      <c r="P234" s="46"/>
      <c r="Q234" s="46"/>
      <c r="R234" s="59"/>
      <c r="S234" s="59"/>
      <c r="T234" s="59"/>
      <c r="U234" s="59"/>
      <c r="V234" s="59"/>
      <c r="W234" s="59"/>
      <c r="AK234" s="3">
        <v>116</v>
      </c>
    </row>
    <row r="235" spans="2:37" ht="14.25" customHeight="1" x14ac:dyDescent="0.3">
      <c r="B235" s="59"/>
      <c r="C235" s="59"/>
      <c r="D235" s="59"/>
      <c r="E235" s="59"/>
      <c r="F235" s="59"/>
      <c r="G235" s="59"/>
      <c r="H235" s="59"/>
      <c r="I235" s="59"/>
      <c r="J235" s="59"/>
      <c r="K235" s="59"/>
      <c r="L235" s="59"/>
      <c r="M235" s="186"/>
      <c r="N235" s="186"/>
      <c r="O235" s="186"/>
      <c r="P235" s="46"/>
      <c r="Q235" s="46"/>
      <c r="R235" s="59"/>
      <c r="S235" s="59"/>
      <c r="T235" s="59"/>
      <c r="U235" s="59"/>
      <c r="V235" s="59"/>
      <c r="W235" s="59"/>
      <c r="AK235" s="3">
        <v>117</v>
      </c>
    </row>
    <row r="236" spans="2:37" ht="14.25" customHeight="1" x14ac:dyDescent="0.3">
      <c r="B236" s="59"/>
      <c r="C236" s="59"/>
      <c r="D236" s="59"/>
      <c r="E236" s="59"/>
      <c r="F236" s="59"/>
      <c r="G236" s="59"/>
      <c r="H236" s="59"/>
      <c r="I236" s="59"/>
      <c r="J236" s="59"/>
      <c r="K236" s="59"/>
      <c r="L236" s="59"/>
      <c r="M236" s="186"/>
      <c r="N236" s="186"/>
      <c r="O236" s="186"/>
      <c r="P236" s="46"/>
      <c r="Q236" s="46"/>
      <c r="R236" s="59"/>
      <c r="S236" s="59"/>
      <c r="T236" s="59"/>
      <c r="U236" s="59"/>
      <c r="V236" s="59"/>
      <c r="W236" s="59"/>
      <c r="AK236" s="3">
        <v>118</v>
      </c>
    </row>
    <row r="237" spans="2:37" ht="14.25" customHeight="1" x14ac:dyDescent="0.3">
      <c r="B237" s="59"/>
      <c r="C237" s="59"/>
      <c r="D237" s="59"/>
      <c r="E237" s="59"/>
      <c r="F237" s="59"/>
      <c r="G237" s="59"/>
      <c r="H237" s="59"/>
      <c r="I237" s="59"/>
      <c r="J237" s="59"/>
      <c r="K237" s="59"/>
      <c r="L237" s="59"/>
      <c r="M237" s="186"/>
      <c r="N237" s="186"/>
      <c r="O237" s="186"/>
      <c r="P237" s="46"/>
      <c r="Q237" s="46"/>
      <c r="R237" s="59"/>
      <c r="S237" s="59"/>
      <c r="T237" s="59"/>
      <c r="U237" s="59"/>
      <c r="V237" s="59"/>
      <c r="W237" s="59"/>
      <c r="AK237" s="3">
        <v>119</v>
      </c>
    </row>
    <row r="238" spans="2:37" ht="14.25" customHeight="1" x14ac:dyDescent="0.3">
      <c r="B238" s="59"/>
      <c r="C238" s="59"/>
      <c r="D238" s="59"/>
      <c r="E238" s="59"/>
      <c r="F238" s="59"/>
      <c r="G238" s="59"/>
      <c r="H238" s="59"/>
      <c r="I238" s="59"/>
      <c r="J238" s="59"/>
      <c r="K238" s="59"/>
      <c r="L238" s="59"/>
      <c r="M238" s="186"/>
      <c r="N238" s="186"/>
      <c r="O238" s="186"/>
      <c r="P238" s="46"/>
      <c r="Q238" s="46"/>
      <c r="R238" s="59"/>
      <c r="S238" s="59"/>
      <c r="T238" s="59"/>
      <c r="U238" s="59"/>
      <c r="V238" s="59"/>
      <c r="W238" s="59"/>
      <c r="AK238" s="3">
        <v>120</v>
      </c>
    </row>
    <row r="239" spans="2:37" ht="14.25" customHeight="1" x14ac:dyDescent="0.3">
      <c r="B239" s="59"/>
      <c r="C239" s="59"/>
      <c r="D239" s="59"/>
      <c r="E239" s="59"/>
      <c r="F239" s="59"/>
      <c r="G239" s="59"/>
      <c r="H239" s="59"/>
      <c r="I239" s="59"/>
      <c r="J239" s="59"/>
      <c r="K239" s="59"/>
      <c r="L239" s="59"/>
      <c r="M239" s="186"/>
      <c r="N239" s="186"/>
      <c r="O239" s="186"/>
      <c r="P239" s="46"/>
      <c r="Q239" s="46"/>
      <c r="R239" s="59"/>
      <c r="S239" s="59"/>
      <c r="T239" s="59"/>
      <c r="U239" s="59"/>
      <c r="V239" s="59"/>
      <c r="W239" s="59"/>
      <c r="AK239" s="3">
        <v>121</v>
      </c>
    </row>
    <row r="240" spans="2:37" ht="14.25" customHeight="1" x14ac:dyDescent="0.3">
      <c r="B240" s="59"/>
      <c r="C240" s="59"/>
      <c r="D240" s="59"/>
      <c r="E240" s="59"/>
      <c r="F240" s="59"/>
      <c r="G240" s="59"/>
      <c r="H240" s="59"/>
      <c r="I240" s="59"/>
      <c r="J240" s="59"/>
      <c r="K240" s="59"/>
      <c r="L240" s="59"/>
      <c r="M240" s="186"/>
      <c r="N240" s="186"/>
      <c r="O240" s="186"/>
      <c r="P240" s="46"/>
      <c r="Q240" s="46"/>
      <c r="R240" s="59"/>
      <c r="S240" s="59"/>
      <c r="T240" s="59"/>
      <c r="U240" s="59"/>
      <c r="V240" s="59"/>
      <c r="W240" s="59"/>
    </row>
    <row r="241" spans="2:23" ht="14.25" customHeight="1" x14ac:dyDescent="0.3">
      <c r="B241" s="59"/>
      <c r="C241" s="59"/>
      <c r="D241" s="59"/>
      <c r="E241" s="59"/>
      <c r="F241" s="59"/>
      <c r="G241" s="59"/>
      <c r="H241" s="59"/>
      <c r="I241" s="59"/>
      <c r="J241" s="59"/>
      <c r="K241" s="59"/>
      <c r="L241" s="59"/>
      <c r="M241" s="186"/>
      <c r="N241" s="186"/>
      <c r="O241" s="186"/>
      <c r="P241" s="46"/>
      <c r="Q241" s="46"/>
      <c r="R241" s="59"/>
      <c r="S241" s="59"/>
      <c r="T241" s="59"/>
      <c r="U241" s="59"/>
      <c r="V241" s="59"/>
      <c r="W241" s="59"/>
    </row>
    <row r="242" spans="2:23" ht="14.25" customHeight="1" x14ac:dyDescent="0.3">
      <c r="B242" s="59"/>
      <c r="C242" s="59"/>
      <c r="D242" s="59"/>
      <c r="E242" s="59"/>
      <c r="F242" s="59"/>
      <c r="G242" s="59"/>
      <c r="H242" s="59"/>
      <c r="I242" s="59"/>
      <c r="J242" s="59"/>
      <c r="K242" s="59"/>
      <c r="L242" s="59"/>
      <c r="M242" s="186"/>
      <c r="N242" s="186"/>
      <c r="O242" s="186"/>
      <c r="P242" s="46"/>
      <c r="Q242" s="46"/>
      <c r="R242" s="59"/>
      <c r="S242" s="59"/>
      <c r="T242" s="59"/>
      <c r="U242" s="59"/>
      <c r="V242" s="59"/>
      <c r="W242" s="59"/>
    </row>
    <row r="243" spans="2:23" ht="14.25" customHeight="1" x14ac:dyDescent="0.3">
      <c r="B243" s="59"/>
      <c r="C243" s="59"/>
      <c r="D243" s="59"/>
      <c r="E243" s="59"/>
      <c r="F243" s="59"/>
      <c r="G243" s="59"/>
      <c r="H243" s="59"/>
      <c r="I243" s="59"/>
      <c r="J243" s="59"/>
      <c r="K243" s="59"/>
      <c r="L243" s="59"/>
      <c r="M243" s="186"/>
      <c r="N243" s="186"/>
      <c r="O243" s="186"/>
      <c r="P243" s="46"/>
      <c r="Q243" s="46"/>
      <c r="R243" s="59"/>
      <c r="S243" s="59"/>
      <c r="T243" s="59"/>
      <c r="U243" s="59"/>
      <c r="V243" s="59"/>
      <c r="W243" s="59"/>
    </row>
    <row r="244" spans="2:23" ht="14.25" customHeight="1" x14ac:dyDescent="0.3">
      <c r="B244" s="59"/>
      <c r="C244" s="59"/>
      <c r="D244" s="59"/>
      <c r="E244" s="59"/>
      <c r="F244" s="59"/>
      <c r="G244" s="59"/>
      <c r="H244" s="59"/>
      <c r="I244" s="59"/>
      <c r="J244" s="59"/>
      <c r="K244" s="59"/>
      <c r="L244" s="59"/>
      <c r="M244" s="186"/>
      <c r="N244" s="186"/>
      <c r="O244" s="186"/>
      <c r="P244" s="46"/>
      <c r="Q244" s="46"/>
      <c r="R244" s="59"/>
      <c r="S244" s="59"/>
      <c r="T244" s="59"/>
      <c r="U244" s="59"/>
      <c r="V244" s="59"/>
      <c r="W244" s="59"/>
    </row>
    <row r="245" spans="2:23" ht="14.25" customHeight="1" x14ac:dyDescent="0.3">
      <c r="B245" s="59"/>
      <c r="C245" s="59"/>
      <c r="D245" s="59"/>
      <c r="E245" s="59"/>
      <c r="F245" s="59"/>
      <c r="G245" s="59"/>
      <c r="H245" s="59"/>
      <c r="I245" s="59"/>
      <c r="J245" s="59"/>
      <c r="K245" s="59"/>
      <c r="L245" s="59"/>
      <c r="M245" s="186"/>
      <c r="N245" s="186"/>
      <c r="O245" s="186"/>
      <c r="P245" s="46"/>
      <c r="Q245" s="46"/>
      <c r="R245" s="59"/>
      <c r="S245" s="59"/>
      <c r="T245" s="59"/>
      <c r="U245" s="59"/>
      <c r="V245" s="59"/>
      <c r="W245" s="59"/>
    </row>
    <row r="246" spans="2:23" ht="14.25" customHeight="1" x14ac:dyDescent="0.3">
      <c r="C246" s="59"/>
      <c r="D246" s="59"/>
      <c r="E246" s="59"/>
      <c r="F246" s="59"/>
      <c r="G246" s="59"/>
      <c r="H246" s="59"/>
      <c r="I246" s="59"/>
      <c r="J246" s="59"/>
      <c r="K246" s="59"/>
      <c r="L246" s="59"/>
      <c r="M246" s="186"/>
      <c r="N246" s="186"/>
      <c r="O246" s="186"/>
      <c r="P246" s="46"/>
      <c r="Q246" s="46"/>
      <c r="R246" s="59"/>
      <c r="S246" s="59"/>
      <c r="T246" s="59"/>
      <c r="U246" s="59"/>
      <c r="V246" s="59"/>
      <c r="W246" s="59"/>
    </row>
    <row r="247" spans="2:23" ht="14.25" customHeight="1" x14ac:dyDescent="0.3">
      <c r="C247" s="59"/>
      <c r="D247" s="59"/>
      <c r="E247" s="59"/>
      <c r="F247" s="59"/>
      <c r="G247" s="59"/>
      <c r="H247" s="59"/>
      <c r="I247" s="59"/>
      <c r="J247" s="59"/>
      <c r="K247" s="59"/>
      <c r="L247" s="59"/>
      <c r="M247" s="186"/>
      <c r="N247" s="186"/>
      <c r="O247" s="186"/>
      <c r="P247" s="46"/>
      <c r="Q247" s="46"/>
      <c r="R247" s="59"/>
      <c r="S247" s="59"/>
    </row>
    <row r="248" spans="2:23" ht="14.25" customHeight="1" x14ac:dyDescent="0.3">
      <c r="E248" s="59"/>
      <c r="F248" s="59"/>
      <c r="G248" s="59"/>
      <c r="H248" s="59"/>
      <c r="I248" s="59"/>
      <c r="J248" s="59"/>
      <c r="K248" s="59"/>
      <c r="L248" s="59"/>
      <c r="M248" s="186"/>
      <c r="N248" s="186"/>
      <c r="O248" s="186"/>
      <c r="P248" s="46"/>
      <c r="Q248" s="46"/>
      <c r="R248" s="59"/>
      <c r="S248" s="59"/>
    </row>
    <row r="249" spans="2:23" ht="14.25" customHeight="1" x14ac:dyDescent="0.3">
      <c r="E249" s="59"/>
      <c r="F249" s="59"/>
      <c r="G249" s="59"/>
      <c r="H249" s="59"/>
      <c r="I249" s="59"/>
      <c r="J249" s="59"/>
      <c r="K249" s="59"/>
      <c r="L249" s="59"/>
      <c r="M249" s="186"/>
      <c r="N249" s="186"/>
      <c r="O249" s="186"/>
      <c r="P249" s="46"/>
      <c r="Q249" s="46"/>
      <c r="R249" s="59"/>
      <c r="S249" s="59"/>
    </row>
    <row r="250" spans="2:23" ht="14.25" customHeight="1" x14ac:dyDescent="0.3">
      <c r="E250" s="59"/>
      <c r="F250" s="59"/>
      <c r="G250" s="59"/>
      <c r="H250" s="59"/>
      <c r="I250" s="59"/>
      <c r="J250" s="59"/>
      <c r="K250" s="59"/>
      <c r="L250" s="59"/>
      <c r="M250" s="186"/>
      <c r="N250" s="186"/>
      <c r="O250" s="186"/>
      <c r="P250" s="46"/>
      <c r="Q250" s="46"/>
      <c r="R250" s="59"/>
      <c r="S250" s="59"/>
    </row>
    <row r="251" spans="2:23" ht="14.25" customHeight="1" x14ac:dyDescent="0.3">
      <c r="E251" s="59"/>
      <c r="F251" s="59"/>
      <c r="G251" s="59"/>
      <c r="H251" s="59"/>
      <c r="I251" s="59"/>
      <c r="J251" s="59"/>
      <c r="K251" s="59"/>
      <c r="L251" s="59"/>
      <c r="M251" s="186"/>
      <c r="N251" s="186"/>
      <c r="O251" s="186"/>
      <c r="P251" s="46"/>
      <c r="Q251" s="46"/>
      <c r="R251" s="59"/>
      <c r="S251" s="59"/>
    </row>
    <row r="252" spans="2:23" ht="14.25" customHeight="1" x14ac:dyDescent="0.3">
      <c r="E252" s="59"/>
      <c r="F252" s="59"/>
      <c r="G252" s="59"/>
      <c r="H252" s="59"/>
      <c r="I252" s="59"/>
      <c r="J252" s="59"/>
      <c r="K252" s="59"/>
      <c r="L252" s="59"/>
      <c r="M252" s="186"/>
      <c r="N252" s="186"/>
      <c r="O252" s="186"/>
      <c r="P252" s="46"/>
      <c r="Q252" s="46"/>
      <c r="R252" s="59"/>
      <c r="S252" s="59"/>
    </row>
    <row r="253" spans="2:23" ht="14.25" customHeight="1" x14ac:dyDescent="0.3">
      <c r="E253" s="59"/>
      <c r="F253" s="59"/>
      <c r="G253" s="59"/>
      <c r="H253" s="59"/>
      <c r="I253" s="59"/>
      <c r="J253" s="59"/>
      <c r="K253" s="59"/>
      <c r="L253" s="59"/>
      <c r="M253" s="186"/>
      <c r="N253" s="186"/>
      <c r="O253" s="186"/>
      <c r="P253" s="46"/>
      <c r="Q253" s="46"/>
      <c r="R253" s="59"/>
      <c r="S253" s="59"/>
    </row>
    <row r="254" spans="2:23" ht="14.25" customHeight="1" x14ac:dyDescent="0.3">
      <c r="E254" s="59"/>
      <c r="F254" s="59"/>
      <c r="G254" s="59"/>
      <c r="H254" s="59"/>
      <c r="I254" s="59"/>
      <c r="J254" s="59"/>
      <c r="K254" s="59"/>
      <c r="L254" s="59"/>
      <c r="M254" s="186"/>
      <c r="N254" s="186"/>
      <c r="O254" s="186"/>
      <c r="P254" s="46"/>
      <c r="Q254" s="46"/>
      <c r="R254" s="59"/>
      <c r="S254" s="59"/>
    </row>
    <row r="255" spans="2:23" ht="14.25" customHeight="1" x14ac:dyDescent="0.3">
      <c r="E255" s="59"/>
      <c r="F255" s="59"/>
      <c r="G255" s="59"/>
      <c r="H255" s="59"/>
      <c r="I255" s="59"/>
      <c r="J255" s="59"/>
      <c r="K255" s="59"/>
      <c r="L255" s="59"/>
      <c r="M255" s="186"/>
      <c r="N255" s="186"/>
      <c r="O255" s="186"/>
      <c r="P255" s="46"/>
      <c r="Q255" s="46"/>
      <c r="R255" s="59"/>
      <c r="S255" s="59"/>
    </row>
    <row r="256" spans="2:23" ht="14.25" customHeight="1" x14ac:dyDescent="0.3">
      <c r="E256" s="59"/>
      <c r="F256" s="59"/>
      <c r="G256" s="59"/>
      <c r="H256" s="59"/>
      <c r="I256" s="59"/>
      <c r="J256" s="59"/>
      <c r="K256" s="59"/>
      <c r="L256" s="59"/>
      <c r="M256" s="186"/>
      <c r="N256" s="186"/>
      <c r="O256" s="186"/>
      <c r="P256" s="46"/>
      <c r="Q256" s="46"/>
      <c r="R256" s="59"/>
      <c r="S256" s="59"/>
    </row>
    <row r="257" spans="8:19" ht="14.25" customHeight="1" x14ac:dyDescent="0.3">
      <c r="H257" s="2"/>
      <c r="I257" s="2"/>
      <c r="J257" s="2"/>
      <c r="K257" s="2"/>
      <c r="L257" s="2"/>
      <c r="M257" s="183">
        <v>0.6</v>
      </c>
      <c r="N257" s="192"/>
      <c r="O257" s="181">
        <f>+O41*60%</f>
        <v>22762603.896620285</v>
      </c>
      <c r="P257" s="46"/>
      <c r="Q257" s="46"/>
      <c r="R257" s="59"/>
      <c r="S257" s="59"/>
    </row>
    <row r="258" spans="8:19" ht="14.25" customHeight="1" x14ac:dyDescent="0.3">
      <c r="H258" s="2"/>
      <c r="I258" s="2"/>
      <c r="J258" s="2"/>
      <c r="K258" s="2"/>
      <c r="L258" s="2"/>
      <c r="M258" s="182">
        <v>0.5</v>
      </c>
      <c r="N258" s="2"/>
      <c r="O258" s="181">
        <f>+O41*M258</f>
        <v>18968836.580516905</v>
      </c>
      <c r="P258" s="46"/>
      <c r="Q258" s="46"/>
      <c r="R258" s="59"/>
      <c r="S258" s="59"/>
    </row>
    <row r="259" spans="8:19" ht="14.25" customHeight="1" x14ac:dyDescent="0.3">
      <c r="H259" s="2"/>
      <c r="I259" s="2"/>
      <c r="J259" s="2"/>
      <c r="K259" s="2"/>
      <c r="L259" s="2"/>
      <c r="M259" s="193">
        <v>0.48</v>
      </c>
      <c r="N259" s="194"/>
      <c r="O259" s="195">
        <f>+O42*M259</f>
        <v>16389074.805566607</v>
      </c>
      <c r="P259" s="46"/>
      <c r="Q259" s="46"/>
      <c r="R259" s="59"/>
      <c r="S259" s="59"/>
    </row>
    <row r="260" spans="8:19" ht="14.25" customHeight="1" x14ac:dyDescent="0.3">
      <c r="H260" s="2"/>
      <c r="I260" s="2"/>
      <c r="J260" s="2"/>
      <c r="K260" s="2"/>
      <c r="L260" s="2"/>
      <c r="M260" s="2"/>
      <c r="N260" s="2"/>
      <c r="O260" s="2"/>
    </row>
    <row r="261" spans="8:19" ht="14.25" customHeight="1" x14ac:dyDescent="0.3">
      <c r="H261" s="2"/>
      <c r="I261" s="2"/>
      <c r="J261" s="2"/>
      <c r="K261" s="2"/>
      <c r="L261" s="2"/>
      <c r="M261" s="2"/>
      <c r="N261" s="2"/>
      <c r="O261" s="2"/>
    </row>
    <row r="262" spans="8:19" ht="14.25" customHeight="1" x14ac:dyDescent="0.3">
      <c r="H262" s="2"/>
      <c r="I262" s="2"/>
      <c r="J262" s="2"/>
      <c r="K262" s="2"/>
      <c r="L262" s="2"/>
      <c r="M262" s="2"/>
      <c r="N262" s="2"/>
      <c r="O262" s="2"/>
    </row>
    <row r="263" spans="8:19" ht="14.25" customHeight="1" x14ac:dyDescent="0.3">
      <c r="H263" s="2"/>
      <c r="I263" s="2"/>
      <c r="J263" s="2"/>
      <c r="K263" s="2"/>
      <c r="L263" s="2"/>
      <c r="M263" s="2"/>
      <c r="N263" s="2"/>
      <c r="O263" s="2"/>
    </row>
    <row r="264" spans="8:19" ht="14.25" customHeight="1" x14ac:dyDescent="0.3">
      <c r="H264" s="2"/>
      <c r="I264" s="2"/>
      <c r="J264" s="2"/>
      <c r="K264" s="2"/>
      <c r="L264" s="2"/>
      <c r="M264" s="2"/>
      <c r="N264" s="2"/>
      <c r="O264" s="2"/>
    </row>
  </sheetData>
  <mergeCells count="63">
    <mergeCell ref="C9:D9"/>
    <mergeCell ref="G7:J8"/>
    <mergeCell ref="K7:K8"/>
    <mergeCell ref="C10:D10"/>
    <mergeCell ref="C11:D11"/>
    <mergeCell ref="H41:I41"/>
    <mergeCell ref="C22:D22"/>
    <mergeCell ref="H22:I22"/>
    <mergeCell ref="C23:D23"/>
    <mergeCell ref="H23:I23"/>
    <mergeCell ref="C31:D31"/>
    <mergeCell ref="C38:D38"/>
    <mergeCell ref="C39:D39"/>
    <mergeCell ref="C25:D25"/>
    <mergeCell ref="C26:D26"/>
    <mergeCell ref="H24:I24"/>
    <mergeCell ref="C49:D49"/>
    <mergeCell ref="C50:D50"/>
    <mergeCell ref="C43:D43"/>
    <mergeCell ref="C42:D42"/>
    <mergeCell ref="C24:D24"/>
    <mergeCell ref="C41:D41"/>
    <mergeCell ref="C29:D29"/>
    <mergeCell ref="C32:D32"/>
    <mergeCell ref="C27:D27"/>
    <mergeCell ref="C28:D28"/>
    <mergeCell ref="C30:D30"/>
    <mergeCell ref="C33:D33"/>
    <mergeCell ref="C34:D34"/>
    <mergeCell ref="C35:D35"/>
    <mergeCell ref="C36:D36"/>
    <mergeCell ref="C37:D37"/>
    <mergeCell ref="C21:D21"/>
    <mergeCell ref="H21:I21"/>
    <mergeCell ref="O19:O20"/>
    <mergeCell ref="C12:D12"/>
    <mergeCell ref="C13:D13"/>
    <mergeCell ref="C14:D14"/>
    <mergeCell ref="O15:O16"/>
    <mergeCell ref="O13:O14"/>
    <mergeCell ref="G13:J14"/>
    <mergeCell ref="K13:K14"/>
    <mergeCell ref="G15:J16"/>
    <mergeCell ref="K15:K16"/>
    <mergeCell ref="K19:K20"/>
    <mergeCell ref="C15:D15"/>
    <mergeCell ref="C16:D16"/>
    <mergeCell ref="G3:I4"/>
    <mergeCell ref="J3:M4"/>
    <mergeCell ref="C3:E4"/>
    <mergeCell ref="C19:D20"/>
    <mergeCell ref="H19:I20"/>
    <mergeCell ref="E19:E20"/>
    <mergeCell ref="M19:M20"/>
    <mergeCell ref="M15:N16"/>
    <mergeCell ref="G11:J12"/>
    <mergeCell ref="K11:K12"/>
    <mergeCell ref="M13:N14"/>
    <mergeCell ref="G9:J10"/>
    <mergeCell ref="K9:K10"/>
    <mergeCell ref="C6:D6"/>
    <mergeCell ref="C7:D7"/>
    <mergeCell ref="C8:D8"/>
  </mergeCells>
  <dataValidations count="12">
    <dataValidation type="list" allowBlank="1" showInputMessage="1" showErrorMessage="1" sqref="E16:E18">
      <formula1>$D$82:$D$88</formula1>
    </dataValidation>
    <dataValidation type="date" operator="lessThan" allowBlank="1" showInputMessage="1" showErrorMessage="1" errorTitle="ERROR EN LA FECHA DE NACIMIENTO" error="POR FAVOR VERIFIQUE EL VALOR INGRESADO " sqref="E8">
      <formula1>E6</formula1>
    </dataValidation>
    <dataValidation type="date" allowBlank="1" showInputMessage="1" showErrorMessage="1" errorTitle="ERROR EN LA FECHA DE MUERTE" error="POR FAVOR VERIFIQUE LA FECHA INGRESADA" sqref="E9">
      <formula1>E8</formula1>
      <formula2>E6</formula2>
    </dataValidation>
    <dataValidation type="list" allowBlank="1" showInputMessage="1" showErrorMessage="1" errorTitle="ERROR EN GENERO" error="TENGA EN CUENTA QUE EL GENERO ES &quot;H&quot; PARA HOMBRE Y &quot;M&quot; PARA MUJER" sqref="E10">
      <formula1>$O$130:$O$134</formula1>
    </dataValidation>
    <dataValidation type="whole" allowBlank="1" showInputMessage="1" showErrorMessage="1" errorTitle="ERROR EN VALOR" error="POR FAVOR VERIFICAR EL DATO INGRESADO Y CORREGIRLO" sqref="E12">
      <formula1>0</formula1>
      <formula2>999999999</formula2>
    </dataValidation>
    <dataValidation allowBlank="1" showInputMessage="1" showErrorMessage="1" errorTitle="ERROR EN EL GENERO" error="TENGA EN CUENTA QUE EL GENERO ES &quot;H&quot; PARA HOMBRE Y &quot;M&quot; PARA MUJER" sqref="I18 I42:I50"/>
    <dataValidation type="list" allowBlank="1" showInputMessage="1" showErrorMessage="1" sqref="E15 U4">
      <formula1>$D$89:$D$91</formula1>
    </dataValidation>
    <dataValidation type="decimal" allowBlank="1" showInputMessage="1" showErrorMessage="1" errorTitle="PORCENTAJE DE PCL" error="POR FAVOR VERIFIQUE EL VALOR INGRESADO Y CORRIJALO" sqref="E13">
      <formula1>0</formula1>
      <formula2>100</formula2>
    </dataValidation>
    <dataValidation type="whole" allowBlank="1" showInputMessage="1" showErrorMessage="1" errorTitle="DIAS DE INCAPACIDAD" error="POR FAVOR VERIFIQUE EL VALOR INGRESADO Y CORRIJALO" sqref="E14">
      <formula1>0</formula1>
      <formula2>360</formula2>
    </dataValidation>
    <dataValidation type="whole" allowBlank="1" showInputMessage="1" showErrorMessage="1" errorTitle="VR. DE DAÑO EMERGENTE" error="POR FAVOR VERIFIQUE EL DATO INGRESADO Y CORRIJALO POR EL VALOR REAL DEL DAÑO EMERGENTE" sqref="O15:O16">
      <formula1>0</formula1>
      <formula2>999999999</formula2>
    </dataValidation>
    <dataValidation type="decimal" allowBlank="1" showInputMessage="1" showErrorMessage="1" errorTitle="ERROR EN DATO NUMERICO" error="POR FAVOR VERIFIQUE EL VALOR INGRESADO, E INGRESE EL DATO CORRECTO" sqref="E11">
      <formula1>0</formula1>
      <formula2>100</formula2>
    </dataValidation>
    <dataValidation type="list" allowBlank="1" showInputMessage="1" showErrorMessage="1" sqref="E21:E40">
      <formula1>$D$95:$D$107</formula1>
    </dataValidation>
  </dataValidations>
  <pageMargins left="0.7" right="0.7" top="0.75" bottom="0.75" header="0.3" footer="0.3"/>
  <pageSetup scale="90" orientation="landscape" horizontalDpi="4294967294" verticalDpi="4294967294" r:id="rId1"/>
  <ignoredErrors>
    <ignoredError sqref="F72" twoDigitTextYear="1"/>
    <ignoredError sqref="O10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70" zoomScaleNormal="70" workbookViewId="0">
      <selection activeCell="L24" sqref="L24"/>
    </sheetView>
  </sheetViews>
  <sheetFormatPr baseColWidth="10" defaultColWidth="11.3984375" defaultRowHeight="14.5" x14ac:dyDescent="0.35"/>
  <cols>
    <col min="1" max="1" width="18.3984375" style="204" customWidth="1"/>
    <col min="2" max="2" width="29.3984375" style="204" customWidth="1"/>
    <col min="3" max="3" width="17.3984375" style="204" customWidth="1"/>
    <col min="4" max="4" width="11.3984375" style="204"/>
    <col min="5" max="5" width="18.8984375" style="204" bestFit="1" customWidth="1"/>
    <col min="6" max="6" width="18.8984375" style="204" customWidth="1"/>
    <col min="7" max="7" width="12.59765625" style="204" bestFit="1" customWidth="1"/>
    <col min="8" max="8" width="11.3984375" style="204"/>
    <col min="9" max="9" width="19" style="204" bestFit="1" customWidth="1"/>
    <col min="10" max="10" width="16" style="204" customWidth="1"/>
    <col min="11" max="11" width="15.296875" style="204" customWidth="1"/>
    <col min="12" max="12" width="11.3984375" style="204"/>
    <col min="13" max="13" width="29.296875" style="204" customWidth="1"/>
    <col min="14" max="14" width="17.09765625" style="204" bestFit="1" customWidth="1"/>
    <col min="15" max="16384" width="11.3984375" style="204"/>
  </cols>
  <sheetData>
    <row r="1" spans="1:13" ht="30" customHeight="1" x14ac:dyDescent="0.35">
      <c r="A1" s="313" t="s">
        <v>446</v>
      </c>
      <c r="B1" s="314"/>
      <c r="C1" s="314"/>
      <c r="D1" s="314"/>
      <c r="E1" s="314"/>
      <c r="F1" s="314"/>
      <c r="G1" s="314"/>
      <c r="H1" s="314"/>
      <c r="I1" s="314"/>
    </row>
    <row r="2" spans="1:13" x14ac:dyDescent="0.35">
      <c r="A2" s="205" t="s">
        <v>447</v>
      </c>
      <c r="B2" s="206"/>
      <c r="E2" s="205" t="s">
        <v>448</v>
      </c>
      <c r="F2" s="250">
        <v>147.9</v>
      </c>
    </row>
    <row r="3" spans="1:13" x14ac:dyDescent="0.35">
      <c r="A3" s="208" t="s">
        <v>449</v>
      </c>
      <c r="B3" s="238">
        <v>17.920000000000002</v>
      </c>
      <c r="E3" s="208" t="s">
        <v>450</v>
      </c>
      <c r="F3" s="209">
        <v>100.6</v>
      </c>
    </row>
    <row r="4" spans="1:13" ht="30.75" customHeight="1" x14ac:dyDescent="0.35">
      <c r="A4" s="315" t="s">
        <v>451</v>
      </c>
      <c r="B4" s="316"/>
      <c r="C4" s="317"/>
      <c r="E4" s="318" t="s">
        <v>452</v>
      </c>
      <c r="F4" s="319"/>
      <c r="G4" s="320"/>
      <c r="I4" s="318" t="s">
        <v>453</v>
      </c>
      <c r="J4" s="319"/>
      <c r="K4" s="320"/>
      <c r="M4" s="204" t="s">
        <v>454</v>
      </c>
    </row>
    <row r="5" spans="1:13" x14ac:dyDescent="0.35">
      <c r="A5" s="210" t="s">
        <v>455</v>
      </c>
      <c r="B5" s="321">
        <v>72000000</v>
      </c>
      <c r="C5" s="322"/>
      <c r="E5" s="210" t="s">
        <v>455</v>
      </c>
      <c r="F5" s="321">
        <v>36000000</v>
      </c>
      <c r="G5" s="322"/>
      <c r="I5" s="210" t="s">
        <v>455</v>
      </c>
      <c r="J5" s="321">
        <v>18000000</v>
      </c>
      <c r="K5" s="322"/>
    </row>
    <row r="6" spans="1:13" x14ac:dyDescent="0.35">
      <c r="A6" s="210" t="s">
        <v>456</v>
      </c>
      <c r="B6" s="327">
        <f>(B3*72000000)/100</f>
        <v>12902400.000000002</v>
      </c>
      <c r="C6" s="328"/>
      <c r="E6" s="210" t="s">
        <v>456</v>
      </c>
      <c r="F6" s="327">
        <f>(B3*36000000)/100</f>
        <v>6451200.0000000009</v>
      </c>
      <c r="G6" s="328"/>
      <c r="I6" s="210" t="s">
        <v>456</v>
      </c>
      <c r="J6" s="327">
        <f>(B3*18000000)/100</f>
        <v>3225600.0000000005</v>
      </c>
      <c r="K6" s="328"/>
    </row>
    <row r="7" spans="1:13" x14ac:dyDescent="0.35">
      <c r="A7" s="211"/>
      <c r="C7" s="212"/>
      <c r="E7" s="211"/>
      <c r="G7" s="212"/>
      <c r="I7" s="211"/>
      <c r="K7" s="212"/>
    </row>
    <row r="8" spans="1:13" x14ac:dyDescent="0.35">
      <c r="A8" s="323" t="s">
        <v>457</v>
      </c>
      <c r="B8" s="324">
        <f>B6</f>
        <v>12902400.000000002</v>
      </c>
      <c r="C8" s="212">
        <f>F2</f>
        <v>147.9</v>
      </c>
      <c r="E8" s="323" t="s">
        <v>457</v>
      </c>
      <c r="F8" s="324">
        <f>F6</f>
        <v>6451200.0000000009</v>
      </c>
      <c r="G8" s="212">
        <v>140.96</v>
      </c>
      <c r="I8" s="323" t="s">
        <v>457</v>
      </c>
      <c r="J8" s="324">
        <f>J6</f>
        <v>3225600.0000000005</v>
      </c>
      <c r="K8" s="212">
        <v>140.96</v>
      </c>
    </row>
    <row r="9" spans="1:13" x14ac:dyDescent="0.35">
      <c r="A9" s="323"/>
      <c r="B9" s="324"/>
      <c r="C9" s="212">
        <f>F3</f>
        <v>100.6</v>
      </c>
      <c r="E9" s="323"/>
      <c r="F9" s="324"/>
      <c r="G9" s="212">
        <v>101.18</v>
      </c>
      <c r="I9" s="323"/>
      <c r="J9" s="324"/>
      <c r="K9" s="212">
        <v>101.18</v>
      </c>
    </row>
    <row r="10" spans="1:13" x14ac:dyDescent="0.35">
      <c r="A10" s="211"/>
      <c r="C10" s="212"/>
      <c r="E10" s="211"/>
      <c r="G10" s="212"/>
      <c r="I10" s="211"/>
      <c r="K10" s="212"/>
    </row>
    <row r="11" spans="1:13" x14ac:dyDescent="0.35">
      <c r="A11" s="211"/>
      <c r="C11" s="212"/>
      <c r="E11" s="211"/>
      <c r="G11" s="212"/>
      <c r="I11" s="211"/>
      <c r="K11" s="212"/>
    </row>
    <row r="12" spans="1:13" x14ac:dyDescent="0.35">
      <c r="A12" s="213" t="s">
        <v>457</v>
      </c>
      <c r="B12" s="214">
        <f>B6</f>
        <v>12902400.000000002</v>
      </c>
      <c r="C12" s="212">
        <f>C8/C9</f>
        <v>1.4701789264413521</v>
      </c>
      <c r="E12" s="213" t="s">
        <v>457</v>
      </c>
      <c r="F12" s="215">
        <f>F8</f>
        <v>6451200.0000000009</v>
      </c>
      <c r="G12" s="212">
        <f>G8/G9</f>
        <v>1.3931607036963827</v>
      </c>
      <c r="I12" s="213" t="s">
        <v>457</v>
      </c>
      <c r="J12" s="215">
        <f>J8</f>
        <v>3225600.0000000005</v>
      </c>
      <c r="K12" s="212">
        <f>K8/K9</f>
        <v>1.3931607036963827</v>
      </c>
    </row>
    <row r="13" spans="1:13" x14ac:dyDescent="0.35">
      <c r="A13" s="211"/>
      <c r="C13" s="212"/>
      <c r="E13" s="211"/>
      <c r="G13" s="212"/>
      <c r="I13" s="211"/>
      <c r="K13" s="212"/>
    </row>
    <row r="14" spans="1:13" x14ac:dyDescent="0.35">
      <c r="A14" s="211"/>
      <c r="C14" s="212"/>
      <c r="E14" s="211"/>
      <c r="G14" s="212"/>
      <c r="I14" s="211"/>
      <c r="K14" s="212"/>
    </row>
    <row r="15" spans="1:13" x14ac:dyDescent="0.35">
      <c r="A15" s="216" t="s">
        <v>458</v>
      </c>
      <c r="B15" s="325">
        <f>B12*C12</f>
        <v>18968836.580516905</v>
      </c>
      <c r="C15" s="326"/>
      <c r="E15" s="216" t="s">
        <v>458</v>
      </c>
      <c r="F15" s="325">
        <f>F12*G12</f>
        <v>8987558.3316861056</v>
      </c>
      <c r="G15" s="326"/>
      <c r="I15" s="216" t="s">
        <v>458</v>
      </c>
      <c r="J15" s="325">
        <f>J12*K12</f>
        <v>4493779.1658430528</v>
      </c>
      <c r="K15" s="326"/>
    </row>
    <row r="17" spans="3:7" x14ac:dyDescent="0.35">
      <c r="C17" s="215">
        <f>+B15</f>
        <v>18968836.580516905</v>
      </c>
    </row>
    <row r="18" spans="3:7" ht="29" x14ac:dyDescent="0.35">
      <c r="E18" s="216" t="s">
        <v>459</v>
      </c>
      <c r="F18" s="216" t="s">
        <v>460</v>
      </c>
    </row>
    <row r="19" spans="3:7" x14ac:dyDescent="0.35">
      <c r="E19" s="207" t="s">
        <v>461</v>
      </c>
      <c r="F19" s="217">
        <f>B15</f>
        <v>18968836.580516905</v>
      </c>
      <c r="G19" s="215"/>
    </row>
    <row r="20" spans="3:7" x14ac:dyDescent="0.35">
      <c r="E20" s="207"/>
      <c r="F20" s="218">
        <v>0</v>
      </c>
      <c r="G20" s="215"/>
    </row>
    <row r="21" spans="3:7" x14ac:dyDescent="0.35">
      <c r="E21" s="207"/>
      <c r="F21" s="218">
        <v>0</v>
      </c>
    </row>
    <row r="22" spans="3:7" x14ac:dyDescent="0.35">
      <c r="E22" s="209"/>
      <c r="F22" s="218">
        <v>0</v>
      </c>
    </row>
    <row r="23" spans="3:7" x14ac:dyDescent="0.35">
      <c r="E23" s="219"/>
      <c r="F23" s="218">
        <v>0</v>
      </c>
    </row>
    <row r="24" spans="3:7" x14ac:dyDescent="0.35">
      <c r="E24" s="220"/>
      <c r="F24" s="218">
        <v>0</v>
      </c>
      <c r="G24" s="215"/>
    </row>
    <row r="25" spans="3:7" ht="30" customHeight="1" x14ac:dyDescent="0.35">
      <c r="E25" s="221" t="s">
        <v>462</v>
      </c>
      <c r="F25" s="222">
        <f>SUM(F19:F23)</f>
        <v>18968836.580516905</v>
      </c>
    </row>
    <row r="28" spans="3:7" x14ac:dyDescent="0.35">
      <c r="E28" s="215"/>
    </row>
    <row r="30" spans="3:7" x14ac:dyDescent="0.35">
      <c r="E30" s="223"/>
    </row>
    <row r="32" spans="3:7" x14ac:dyDescent="0.35">
      <c r="E32" s="204" t="s">
        <v>166</v>
      </c>
    </row>
  </sheetData>
  <mergeCells count="19">
    <mergeCell ref="B15:C15"/>
    <mergeCell ref="F15:G15"/>
    <mergeCell ref="J15:K15"/>
    <mergeCell ref="B6:C6"/>
    <mergeCell ref="F6:G6"/>
    <mergeCell ref="J6:K6"/>
    <mergeCell ref="J8:J9"/>
    <mergeCell ref="A8:A9"/>
    <mergeCell ref="B8:B9"/>
    <mergeCell ref="E8:E9"/>
    <mergeCell ref="F8:F9"/>
    <mergeCell ref="I8:I9"/>
    <mergeCell ref="A1:I1"/>
    <mergeCell ref="A4:C4"/>
    <mergeCell ref="E4:G4"/>
    <mergeCell ref="I4:K4"/>
    <mergeCell ref="B5:C5"/>
    <mergeCell ref="F5:G5"/>
    <mergeCell ref="J5:K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C10" sqref="C10"/>
    </sheetView>
  </sheetViews>
  <sheetFormatPr baseColWidth="10" defaultColWidth="11.3984375" defaultRowHeight="14.5" x14ac:dyDescent="0.35"/>
  <cols>
    <col min="1" max="1" width="27.69921875" style="136" bestFit="1" customWidth="1"/>
    <col min="2" max="2" width="25.8984375" style="136" bestFit="1" customWidth="1"/>
    <col min="3" max="3" width="28.296875" style="136" bestFit="1" customWidth="1"/>
    <col min="4" max="4" width="15.59765625" style="136" bestFit="1" customWidth="1"/>
    <col min="5" max="5" width="13.8984375" style="136" bestFit="1" customWidth="1"/>
    <col min="6" max="16384" width="11.3984375" style="136"/>
  </cols>
  <sheetData>
    <row r="1" spans="1:5" x14ac:dyDescent="0.35">
      <c r="A1" s="331" t="s">
        <v>429</v>
      </c>
      <c r="B1" s="331"/>
      <c r="C1" s="331"/>
      <c r="D1" s="331"/>
      <c r="E1" s="331"/>
    </row>
    <row r="2" spans="1:5" x14ac:dyDescent="0.35">
      <c r="A2" s="145" t="s">
        <v>428</v>
      </c>
      <c r="B2" s="333">
        <v>42704</v>
      </c>
      <c r="C2" s="333"/>
      <c r="D2" s="333"/>
      <c r="E2" s="333"/>
    </row>
    <row r="3" spans="1:5" x14ac:dyDescent="0.35">
      <c r="A3" s="145" t="s">
        <v>427</v>
      </c>
      <c r="B3" s="332" t="s">
        <v>426</v>
      </c>
      <c r="C3" s="332"/>
      <c r="D3" s="332"/>
      <c r="E3" s="332"/>
    </row>
    <row r="4" spans="1:5" x14ac:dyDescent="0.35">
      <c r="A4" s="145" t="s">
        <v>425</v>
      </c>
      <c r="B4" s="332" t="s">
        <v>424</v>
      </c>
      <c r="C4" s="332"/>
      <c r="D4" s="332"/>
      <c r="E4" s="332"/>
    </row>
    <row r="5" spans="1:5" x14ac:dyDescent="0.35">
      <c r="A5" s="145" t="s">
        <v>423</v>
      </c>
      <c r="B5" s="332" t="s">
        <v>422</v>
      </c>
      <c r="C5" s="332"/>
      <c r="D5" s="332"/>
      <c r="E5" s="332"/>
    </row>
    <row r="6" spans="1:5" x14ac:dyDescent="0.35">
      <c r="A6" s="330" t="s">
        <v>421</v>
      </c>
      <c r="B6" s="330"/>
      <c r="C6" s="330"/>
      <c r="D6" s="330"/>
      <c r="E6" s="330"/>
    </row>
    <row r="7" spans="1:5" x14ac:dyDescent="0.35">
      <c r="A7" s="143" t="s">
        <v>414</v>
      </c>
      <c r="B7" s="143" t="s">
        <v>413</v>
      </c>
      <c r="C7" s="143" t="s">
        <v>412</v>
      </c>
      <c r="D7" s="143" t="s">
        <v>411</v>
      </c>
      <c r="E7" s="143" t="s">
        <v>410</v>
      </c>
    </row>
    <row r="8" spans="1:5" x14ac:dyDescent="0.35">
      <c r="A8" s="142" t="s">
        <v>420</v>
      </c>
      <c r="B8" s="139" t="s">
        <v>419</v>
      </c>
      <c r="C8" s="139">
        <v>48</v>
      </c>
      <c r="D8" s="141">
        <v>0</v>
      </c>
      <c r="E8" s="141">
        <f>E9/2</f>
        <v>41405800</v>
      </c>
    </row>
    <row r="9" spans="1:5" x14ac:dyDescent="0.35">
      <c r="A9" s="142" t="s">
        <v>418</v>
      </c>
      <c r="B9" s="139" t="s">
        <v>46</v>
      </c>
      <c r="C9" s="139">
        <v>14</v>
      </c>
      <c r="D9" s="144">
        <v>16562320</v>
      </c>
      <c r="E9" s="141">
        <v>82811600</v>
      </c>
    </row>
    <row r="10" spans="1:5" x14ac:dyDescent="0.35">
      <c r="A10" s="142" t="s">
        <v>417</v>
      </c>
      <c r="B10" s="139" t="s">
        <v>46</v>
      </c>
      <c r="C10" s="139">
        <v>21</v>
      </c>
      <c r="D10" s="144">
        <v>4968696</v>
      </c>
      <c r="E10" s="141">
        <v>82811600</v>
      </c>
    </row>
    <row r="11" spans="1:5" x14ac:dyDescent="0.35">
      <c r="A11" s="142" t="s">
        <v>416</v>
      </c>
      <c r="B11" s="139" t="s">
        <v>405</v>
      </c>
      <c r="C11" s="139">
        <v>25</v>
      </c>
      <c r="D11" s="141">
        <v>0</v>
      </c>
      <c r="E11" s="141">
        <v>82811600</v>
      </c>
    </row>
    <row r="12" spans="1:5" x14ac:dyDescent="0.35">
      <c r="C12" s="139" t="s">
        <v>402</v>
      </c>
      <c r="D12" s="140">
        <f>SUM(D8:D11)</f>
        <v>21531016</v>
      </c>
      <c r="E12" s="140">
        <f>SUM(E8:E11)</f>
        <v>289840600</v>
      </c>
    </row>
    <row r="13" spans="1:5" x14ac:dyDescent="0.35">
      <c r="A13" s="329" t="s">
        <v>415</v>
      </c>
      <c r="B13" s="329"/>
      <c r="C13" s="329"/>
      <c r="D13" s="329"/>
      <c r="E13" s="329"/>
    </row>
    <row r="14" spans="1:5" x14ac:dyDescent="0.35">
      <c r="A14" s="143" t="s">
        <v>414</v>
      </c>
      <c r="B14" s="143" t="s">
        <v>413</v>
      </c>
      <c r="C14" s="143" t="s">
        <v>412</v>
      </c>
      <c r="D14" s="143" t="s">
        <v>411</v>
      </c>
      <c r="E14" s="143" t="s">
        <v>410</v>
      </c>
    </row>
    <row r="15" spans="1:5" x14ac:dyDescent="0.35">
      <c r="A15" s="142" t="s">
        <v>409</v>
      </c>
      <c r="B15" s="139" t="s">
        <v>408</v>
      </c>
      <c r="C15" s="139">
        <v>36</v>
      </c>
      <c r="D15" s="141">
        <v>243466104</v>
      </c>
      <c r="E15" s="141">
        <v>82811600</v>
      </c>
    </row>
    <row r="16" spans="1:5" x14ac:dyDescent="0.35">
      <c r="A16" s="142" t="s">
        <v>407</v>
      </c>
      <c r="B16" s="139" t="s">
        <v>405</v>
      </c>
      <c r="C16" s="139">
        <v>1</v>
      </c>
      <c r="D16" s="141">
        <v>73702324</v>
      </c>
      <c r="E16" s="141">
        <v>82811600</v>
      </c>
    </row>
    <row r="17" spans="1:5" x14ac:dyDescent="0.35">
      <c r="A17" s="142" t="s">
        <v>406</v>
      </c>
      <c r="B17" s="139" t="s">
        <v>405</v>
      </c>
      <c r="C17" s="139">
        <v>11</v>
      </c>
      <c r="D17" s="141">
        <v>24015364</v>
      </c>
      <c r="E17" s="141">
        <v>82811600</v>
      </c>
    </row>
    <row r="18" spans="1:5" x14ac:dyDescent="0.35">
      <c r="A18" s="142" t="s">
        <v>404</v>
      </c>
      <c r="B18" s="139" t="s">
        <v>403</v>
      </c>
      <c r="C18" s="139">
        <v>15</v>
      </c>
      <c r="D18" s="141">
        <v>1656232</v>
      </c>
      <c r="E18" s="141">
        <v>3906210</v>
      </c>
    </row>
    <row r="19" spans="1:5" x14ac:dyDescent="0.35">
      <c r="B19" s="137"/>
      <c r="C19" s="139" t="s">
        <v>402</v>
      </c>
      <c r="D19" s="140">
        <f>SUM(D15:D18)</f>
        <v>342840024</v>
      </c>
      <c r="E19" s="140">
        <f>SUM(E15:E18)</f>
        <v>252341010</v>
      </c>
    </row>
    <row r="20" spans="1:5" x14ac:dyDescent="0.35">
      <c r="B20" s="137"/>
      <c r="E20" s="137"/>
    </row>
    <row r="21" spans="1:5" x14ac:dyDescent="0.35">
      <c r="B21" s="137"/>
      <c r="C21" s="139" t="s">
        <v>401</v>
      </c>
      <c r="D21" s="138">
        <f>D19+D12</f>
        <v>364371040</v>
      </c>
      <c r="E21" s="138">
        <f>E19+E12</f>
        <v>542181610</v>
      </c>
    </row>
    <row r="22" spans="1:5" x14ac:dyDescent="0.35">
      <c r="B22" s="137"/>
    </row>
    <row r="23" spans="1:5" x14ac:dyDescent="0.35">
      <c r="B23" s="137"/>
    </row>
    <row r="24" spans="1:5" x14ac:dyDescent="0.35">
      <c r="B24" s="137"/>
    </row>
    <row r="25" spans="1:5" x14ac:dyDescent="0.35">
      <c r="B25" s="137"/>
    </row>
  </sheetData>
  <mergeCells count="7">
    <mergeCell ref="A13:E13"/>
    <mergeCell ref="A6:E6"/>
    <mergeCell ref="A1:E1"/>
    <mergeCell ref="B5:E5"/>
    <mergeCell ref="B4:E4"/>
    <mergeCell ref="B3:E3"/>
    <mergeCell ref="B2:E2"/>
  </mergeCells>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 liquidador muerte</vt:lpstr>
      <vt:lpstr>hoja liquidaciones lesiones</vt:lpstr>
      <vt:lpstr>daño moral (CSJ)</vt:lpstr>
      <vt:lpstr>GRUPOS</vt:lpstr>
      <vt:lpstr>'hoja liquidaciones lesiones'!Área_de_impresión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Molina Cardoso Paola Andrea</cp:lastModifiedBy>
  <cp:lastPrinted>2024-10-09T14:44:17Z</cp:lastPrinted>
  <dcterms:created xsi:type="dcterms:W3CDTF">2018-01-19T09:41:42Z</dcterms:created>
  <dcterms:modified xsi:type="dcterms:W3CDTF">2025-04-10T21:53:37Z</dcterms:modified>
</cp:coreProperties>
</file>